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https://energetskiinstituth.sharepoint.com/sites/NECP/Zajednicki dokumenti/NECP - nacrt/Isporučeno20191216_VRH/"/>
    </mc:Choice>
  </mc:AlternateContent>
  <xr:revisionPtr revIDLastSave="0" documentId="8_{D1793C38-D868-4D28-B402-2364B5B28992}" xr6:coauthVersionLast="45" xr6:coauthVersionMax="45" xr10:uidLastSave="{00000000-0000-0000-0000-000000000000}"/>
  <bookViews>
    <workbookView xWindow="-108" yWindow="-108" windowWidth="23256" windowHeight="12576" firstSheet="1" activeTab="1" xr2:uid="{00000000-000D-0000-FFFF-FFFF00000000}"/>
  </bookViews>
  <sheets>
    <sheet name="Guidance Annex I Part 2 templ" sheetId="4" r:id="rId1"/>
    <sheet name="GOV Annex 1 Part 2 template"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3" l="1"/>
  <c r="R8" i="3"/>
  <c r="R9" i="3" s="1"/>
  <c r="D9" i="3"/>
  <c r="E9" i="3"/>
  <c r="F9" i="3"/>
  <c r="G9" i="3"/>
  <c r="L9" i="3" s="1"/>
  <c r="Q9" i="3"/>
  <c r="S9" i="3"/>
  <c r="D10" i="3"/>
  <c r="E10" i="3"/>
  <c r="F10" i="3"/>
  <c r="G10" i="3"/>
  <c r="L10" i="3" s="1"/>
  <c r="Q10" i="3"/>
  <c r="S10" i="3"/>
  <c r="R10" i="3" s="1"/>
  <c r="G80" i="3" l="1"/>
  <c r="I52" i="3" l="1"/>
  <c r="R52" i="3" l="1"/>
  <c r="R80" i="3" l="1"/>
  <c r="Q52" i="3"/>
  <c r="G155" i="3" l="1"/>
  <c r="G52" i="3" l="1"/>
  <c r="E155" i="3" l="1"/>
  <c r="F155" i="3"/>
  <c r="H155" i="3"/>
  <c r="I155" i="3"/>
  <c r="J155" i="3"/>
  <c r="K155" i="3"/>
  <c r="L155" i="3"/>
  <c r="M155" i="3"/>
  <c r="N155" i="3"/>
  <c r="O155" i="3"/>
  <c r="P155" i="3"/>
  <c r="Q155" i="3"/>
  <c r="R155" i="3"/>
  <c r="S155" i="3"/>
  <c r="D155" i="3"/>
  <c r="E80" i="3" l="1"/>
  <c r="F80" i="3"/>
  <c r="H80" i="3"/>
  <c r="I80" i="3"/>
  <c r="J80" i="3"/>
  <c r="K80" i="3"/>
  <c r="L80" i="3"/>
  <c r="M80" i="3"/>
  <c r="N80" i="3"/>
  <c r="O80" i="3"/>
  <c r="P80" i="3"/>
  <c r="D80" i="3"/>
  <c r="H126" i="3"/>
  <c r="I126" i="3"/>
  <c r="J126" i="3"/>
  <c r="K126" i="3"/>
  <c r="M126" i="3"/>
  <c r="N126" i="3"/>
  <c r="O126" i="3"/>
  <c r="P126" i="3"/>
  <c r="H124" i="3"/>
  <c r="I124" i="3"/>
  <c r="J124" i="3"/>
  <c r="K124" i="3"/>
  <c r="M124" i="3"/>
  <c r="N124" i="3"/>
  <c r="O124" i="3"/>
  <c r="P124" i="3"/>
  <c r="H122" i="3"/>
  <c r="I122" i="3"/>
  <c r="J122" i="3"/>
  <c r="K122" i="3"/>
  <c r="M122" i="3"/>
  <c r="N122" i="3"/>
  <c r="O122" i="3"/>
  <c r="P122" i="3"/>
  <c r="O128" i="3"/>
  <c r="P128" i="3"/>
  <c r="M128" i="3"/>
  <c r="M127" i="3"/>
  <c r="N127" i="3"/>
  <c r="N128" i="3"/>
  <c r="H128" i="3"/>
  <c r="I128" i="3"/>
  <c r="J128" i="3"/>
  <c r="K128" i="3"/>
  <c r="H127" i="3"/>
  <c r="I127" i="3"/>
  <c r="J127" i="3"/>
  <c r="K127" i="3"/>
  <c r="H52" i="3"/>
  <c r="P127" i="3" l="1"/>
  <c r="O127" i="3"/>
  <c r="J52" i="3"/>
  <c r="K52" i="3" l="1"/>
  <c r="L52" i="3" l="1"/>
  <c r="M52" i="3" l="1"/>
  <c r="N52" i="3" l="1"/>
  <c r="O52" i="3" l="1"/>
  <c r="P52" i="3"/>
  <c r="F67" i="3" l="1"/>
  <c r="S122" i="3" l="1"/>
  <c r="Q122" i="3"/>
  <c r="G13" i="3"/>
  <c r="F122" i="3"/>
  <c r="E122" i="3"/>
  <c r="D122" i="3"/>
  <c r="G14" i="3" l="1"/>
  <c r="E14" i="3"/>
  <c r="E124" i="3" s="1"/>
  <c r="Q14" i="3"/>
  <c r="Q124" i="3" s="1"/>
  <c r="F14" i="3"/>
  <c r="F124" i="3" s="1"/>
  <c r="Q12" i="3"/>
  <c r="Q126" i="3" s="1"/>
  <c r="S11" i="3"/>
  <c r="F13" i="3"/>
  <c r="S12" i="3"/>
  <c r="S126" i="3" s="1"/>
  <c r="E11" i="3"/>
  <c r="G124" i="3"/>
  <c r="D11" i="3"/>
  <c r="F11" i="3"/>
  <c r="G122" i="3"/>
  <c r="G12" i="3"/>
  <c r="L122" i="3"/>
  <c r="Q11" i="3"/>
  <c r="S13" i="3"/>
  <c r="D12" i="3"/>
  <c r="D126" i="3" s="1"/>
  <c r="D13" i="3"/>
  <c r="E12" i="3"/>
  <c r="E126" i="3" s="1"/>
  <c r="D14" i="3"/>
  <c r="D124" i="3" s="1"/>
  <c r="E13" i="3"/>
  <c r="F12" i="3"/>
  <c r="F126" i="3" s="1"/>
  <c r="G11" i="3"/>
  <c r="L11" i="3" s="1"/>
  <c r="Q13" i="3"/>
  <c r="S14" i="3"/>
  <c r="S124" i="3" s="1"/>
  <c r="D127" i="3"/>
  <c r="E127" i="3"/>
  <c r="F127" i="3"/>
  <c r="G127" i="3"/>
  <c r="L127" i="3"/>
  <c r="Q127" i="3"/>
  <c r="R127" i="3"/>
  <c r="S127" i="3"/>
  <c r="E128" i="3"/>
  <c r="F128" i="3"/>
  <c r="G128" i="3"/>
  <c r="L128" i="3"/>
  <c r="Q128" i="3"/>
  <c r="R128" i="3"/>
  <c r="S128" i="3"/>
  <c r="D128" i="3"/>
  <c r="L14" i="3" l="1"/>
  <c r="L124" i="3" s="1"/>
  <c r="G126" i="3"/>
  <c r="L12" i="3"/>
  <c r="L126" i="3" s="1"/>
  <c r="R13" i="3"/>
  <c r="L13" i="3"/>
  <c r="R122" i="3"/>
  <c r="S52" i="3" l="1"/>
  <c r="F52" i="3"/>
  <c r="D52" i="3"/>
  <c r="E16" i="3" l="1"/>
  <c r="F16" i="3"/>
  <c r="G16" i="3"/>
  <c r="H16" i="3"/>
  <c r="I16" i="3"/>
  <c r="J16" i="3"/>
  <c r="K16" i="3"/>
  <c r="L16" i="3"/>
  <c r="M16" i="3"/>
  <c r="N16" i="3"/>
  <c r="O16" i="3"/>
  <c r="P16" i="3"/>
  <c r="Q16" i="3"/>
  <c r="R16" i="3"/>
  <c r="S16" i="3"/>
  <c r="D16" i="3"/>
  <c r="R11" i="3" l="1"/>
  <c r="R14" i="3"/>
  <c r="R124" i="3" s="1"/>
  <c r="R12" i="3"/>
  <c r="R126" i="3" s="1"/>
  <c r="D67" i="3"/>
  <c r="D74" i="3"/>
  <c r="E67" i="3" l="1"/>
  <c r="E74" i="3"/>
  <c r="F74" i="3"/>
  <c r="E52" i="3" l="1"/>
  <c r="D41" i="3" l="1"/>
</calcChain>
</file>

<file path=xl/sharedStrings.xml><?xml version="1.0" encoding="utf-8"?>
<sst xmlns="http://schemas.openxmlformats.org/spreadsheetml/2006/main" count="426" uniqueCount="220">
  <si>
    <t>Agriculture</t>
  </si>
  <si>
    <t>Construction</t>
  </si>
  <si>
    <t>Services</t>
  </si>
  <si>
    <t>Energy Sector</t>
  </si>
  <si>
    <t>Industry</t>
  </si>
  <si>
    <t>1. General parameters and variables</t>
  </si>
  <si>
    <t>Heating degree days</t>
  </si>
  <si>
    <t>Cooling degree days</t>
  </si>
  <si>
    <t>2. energy balances and indicators</t>
  </si>
  <si>
    <t>2.2. Electricity and heat</t>
  </si>
  <si>
    <t>Heat generation from thermal power generation</t>
  </si>
  <si>
    <t>Sectorial gross value added</t>
  </si>
  <si>
    <t>Number of passenger-kilometers</t>
  </si>
  <si>
    <t>Freight transport tonnes-kilometres</t>
  </si>
  <si>
    <t>2.1 energy supply</t>
  </si>
  <si>
    <t>Gross electricity generation</t>
  </si>
  <si>
    <t>By fuel</t>
  </si>
  <si>
    <t>2.4. Energy consumption</t>
  </si>
  <si>
    <t>Final energy consumption</t>
  </si>
  <si>
    <t>Primary energy intensity of the economy</t>
  </si>
  <si>
    <t>Final energy intensity by sector</t>
  </si>
  <si>
    <t>2.5. Prices</t>
  </si>
  <si>
    <t>Households</t>
  </si>
  <si>
    <t>Transport public</t>
  </si>
  <si>
    <t>Transport private</t>
  </si>
  <si>
    <t>Natural gas</t>
  </si>
  <si>
    <t>Gasoline</t>
  </si>
  <si>
    <t>Diesel oil</t>
  </si>
  <si>
    <t>2.6. Investments</t>
  </si>
  <si>
    <t>2.7. Renewables</t>
  </si>
  <si>
    <t>Gross final consumption of energy from renewable sources and share of renewable energy in gross final energy consumption and by sector (electricity, heating and cooling, transport) and by technology</t>
  </si>
  <si>
    <t>If applicable, other national trajectories, including long-term or sectorial ones (the share of food-based and advanced biofuels, the share of renewable energy in district heating, as well as the renewable energy produced by cities and energy communities as defined by Article 22 of [recast of Directive 2009/28/EC as proposed by COM(2016) 767])</t>
  </si>
  <si>
    <t>CO2 emission related indicators</t>
  </si>
  <si>
    <t>a</t>
  </si>
  <si>
    <t>b</t>
  </si>
  <si>
    <t>c</t>
  </si>
  <si>
    <t>d</t>
  </si>
  <si>
    <t>e</t>
  </si>
  <si>
    <t>f</t>
  </si>
  <si>
    <t>g</t>
  </si>
  <si>
    <t>h</t>
  </si>
  <si>
    <t>i</t>
  </si>
  <si>
    <t>Municipal solid waste (MSW) generation</t>
  </si>
  <si>
    <t>Municipal solid waste (MSW) going to landfills</t>
  </si>
  <si>
    <t>2.3. Transformation sector</t>
  </si>
  <si>
    <t>3. GHG emissions and removals related indicators</t>
  </si>
  <si>
    <t xml:space="preserve">Main import sources for energy carriers </t>
  </si>
  <si>
    <t>Heat generation from combined heat and power plants, including industrial waste heat</t>
  </si>
  <si>
    <t>residential</t>
  </si>
  <si>
    <t>industry</t>
  </si>
  <si>
    <t>tertiary</t>
  </si>
  <si>
    <t>Final non energy consumption</t>
  </si>
  <si>
    <t>Livestock</t>
  </si>
  <si>
    <t>Private cars</t>
  </si>
  <si>
    <t>Aviation</t>
  </si>
  <si>
    <t>Trucks</t>
  </si>
  <si>
    <t>Technology cost assumptions (see specific excel file circulated with technology cost assumptions as used in EU Reference Scenario 2016 for suggestions on what could be relevant to report</t>
  </si>
  <si>
    <t>Unit</t>
  </si>
  <si>
    <t>million</t>
  </si>
  <si>
    <t>Population</t>
  </si>
  <si>
    <t>Public road transport</t>
  </si>
  <si>
    <t>Motorcycles</t>
  </si>
  <si>
    <t>Rail</t>
  </si>
  <si>
    <t>Inland navigation</t>
  </si>
  <si>
    <t>Oil</t>
  </si>
  <si>
    <t>Gas (NCV)</t>
  </si>
  <si>
    <t>Coal</t>
  </si>
  <si>
    <t>Solids</t>
  </si>
  <si>
    <t>Nuclear</t>
  </si>
  <si>
    <t>Renewable energy sources</t>
  </si>
  <si>
    <t>Net Imports (ktoe)</t>
  </si>
  <si>
    <t>Electricity</t>
  </si>
  <si>
    <t>Renewable energy forms</t>
  </si>
  <si>
    <t>Nuclear energy</t>
  </si>
  <si>
    <t>Oil (including refinery gas)</t>
  </si>
  <si>
    <t>Gas (including derived gases)</t>
  </si>
  <si>
    <t>Biomass-waste</t>
  </si>
  <si>
    <t>Hydro (pumping excluded)</t>
  </si>
  <si>
    <t xml:space="preserve">Wind </t>
  </si>
  <si>
    <t>Solar</t>
  </si>
  <si>
    <t>Geothermal and other renewables</t>
  </si>
  <si>
    <t>Other fuels (hydrogen, methanol)</t>
  </si>
  <si>
    <t>Fuel Input to other conversion processes</t>
  </si>
  <si>
    <t>by sector</t>
  </si>
  <si>
    <t>Residential</t>
  </si>
  <si>
    <t>Tertiary</t>
  </si>
  <si>
    <t>Passenger transport</t>
  </si>
  <si>
    <t>Freight transport</t>
  </si>
  <si>
    <t>by fuel</t>
  </si>
  <si>
    <t>Gas</t>
  </si>
  <si>
    <t>Other</t>
  </si>
  <si>
    <t>RES-H&amp;C share</t>
  </si>
  <si>
    <t>RES-E share</t>
  </si>
  <si>
    <t>Transport</t>
  </si>
  <si>
    <t xml:space="preserve">Number of households </t>
  </si>
  <si>
    <t>Households size</t>
  </si>
  <si>
    <t>EUR million</t>
  </si>
  <si>
    <t>million pkm</t>
  </si>
  <si>
    <t>million tkm</t>
  </si>
  <si>
    <t>International Fuel prices</t>
  </si>
  <si>
    <t xml:space="preserve">Carbon price ETS sectors </t>
  </si>
  <si>
    <t>Exchange rate to EUR and to US dollar</t>
  </si>
  <si>
    <t xml:space="preserve">Production (incl.recovery of products) </t>
  </si>
  <si>
    <t>ktoe</t>
  </si>
  <si>
    <t>Import Dependency</t>
  </si>
  <si>
    <t>%</t>
  </si>
  <si>
    <t>% of total imports</t>
  </si>
  <si>
    <t>Gross Inland Consumption</t>
  </si>
  <si>
    <t>GWhe</t>
  </si>
  <si>
    <t xml:space="preserve">Fuel Inputs to Thermal Power Generation </t>
  </si>
  <si>
    <t>By transport activity, when available</t>
  </si>
  <si>
    <t>Heat</t>
  </si>
  <si>
    <t>toe/euro</t>
  </si>
  <si>
    <t xml:space="preserve">Industry </t>
  </si>
  <si>
    <t>toe/euro of value added</t>
  </si>
  <si>
    <t xml:space="preserve">Residential </t>
  </si>
  <si>
    <t xml:space="preserve">Tertiary </t>
  </si>
  <si>
    <r>
      <t>Electricity prices by type of using sector (residential, industry, tertiary)</t>
    </r>
    <r>
      <rPr>
        <b/>
        <sz val="12"/>
        <color rgb="FFFF0000"/>
        <rFont val="Times New Roman"/>
        <family val="1"/>
      </rPr>
      <t xml:space="preserve"> </t>
    </r>
  </si>
  <si>
    <t>euro/ktoe</t>
  </si>
  <si>
    <t xml:space="preserve">National retail fuel prices (including taxes, per source and sector) </t>
  </si>
  <si>
    <t>euro/MWh</t>
  </si>
  <si>
    <t>% of GDP</t>
  </si>
  <si>
    <t>% of value added</t>
  </si>
  <si>
    <t>Energy related investmentts costs for Industry</t>
  </si>
  <si>
    <t>Energy-related investment costs for overall economy</t>
  </si>
  <si>
    <t>RES in Gross Final Energy Consumption</t>
  </si>
  <si>
    <t xml:space="preserve">Gross final consumption of RES for heating and cooling </t>
  </si>
  <si>
    <t xml:space="preserve">Gross final consumption of electricity from RES </t>
  </si>
  <si>
    <t xml:space="preserve">Gross final consumption of energy from RES in transport </t>
  </si>
  <si>
    <t xml:space="preserve">Total Gross final consumption of RES </t>
  </si>
  <si>
    <t>tCO2eq</t>
  </si>
  <si>
    <t xml:space="preserve">Carbon intensity of the overall economy </t>
  </si>
  <si>
    <t>tCO2eq/MWh</t>
  </si>
  <si>
    <t>tCO2eq/toe</t>
  </si>
  <si>
    <t>dairy cattle</t>
  </si>
  <si>
    <t>1000 heads</t>
  </si>
  <si>
    <t xml:space="preserve">poultry </t>
  </si>
  <si>
    <t xml:space="preserve">non-dairy cattle </t>
  </si>
  <si>
    <t>pigs</t>
  </si>
  <si>
    <t>sheep</t>
  </si>
  <si>
    <t>Nitrogen input from application of synthetic fertilizers</t>
  </si>
  <si>
    <t>kt nitrogen</t>
  </si>
  <si>
    <t xml:space="preserve">Nitrogen input from application of manure </t>
  </si>
  <si>
    <t>Nitrogen fixed by N-fixing crops</t>
  </si>
  <si>
    <t>Nitrogen in crop residues returned to soils</t>
  </si>
  <si>
    <t>hectares</t>
  </si>
  <si>
    <t>Area of cultivated organic soils</t>
  </si>
  <si>
    <t xml:space="preserve">Share of CH4 recovery in total CH4 generation from landfills </t>
  </si>
  <si>
    <t>toe/million pkm</t>
  </si>
  <si>
    <t>toe/million tkm</t>
  </si>
  <si>
    <t xml:space="preserve">Oil </t>
  </si>
  <si>
    <t xml:space="preserve">Gas </t>
  </si>
  <si>
    <t>inhabitants/household</t>
  </si>
  <si>
    <t>EUR</t>
  </si>
  <si>
    <t>All variables highligted in orange correspond to indicators to be computed on the basis of parameters and variables already available elsewhere in the excel file</t>
  </si>
  <si>
    <t>Passenger tranport</t>
  </si>
  <si>
    <t xml:space="preserve"> Non-CO2 GHG emission related parameters</t>
  </si>
  <si>
    <t>All energy related parameters and variables highlighted in red might require to rely on complementary tools than standard energy system models</t>
  </si>
  <si>
    <t>LULUCF (accounted according to EU legislation requirements)</t>
  </si>
  <si>
    <t>t</t>
  </si>
  <si>
    <r>
      <t xml:space="preserve">All parameters and variables highlighted in  green are already currently requested under existing legislation (MMR, RES Directive, or Energy Efficiency Directive), </t>
    </r>
    <r>
      <rPr>
        <sz val="12"/>
        <color rgb="FF000000"/>
        <rFont val="Times New Roman"/>
        <family val="1"/>
      </rPr>
      <t>see e.g. http://cdr.eionet.europa.eu/help/mmr/MMR_projections_templates_2018.zip</t>
    </r>
    <r>
      <rPr>
        <b/>
        <sz val="12"/>
        <color rgb="FF000000"/>
        <rFont val="Times New Roman"/>
        <family val="1"/>
      </rPr>
      <t xml:space="preserve">  </t>
    </r>
  </si>
  <si>
    <t>Reporting of used parameters and variables included in Annex 1, part 2, of the Energy Union Governance as agreed in trilogue</t>
  </si>
  <si>
    <t>EUR/GJ or EUR/toe</t>
  </si>
  <si>
    <t>EUR/  ton CO2</t>
  </si>
  <si>
    <t>ETS sector emissions (in ETS scope since 2013)</t>
  </si>
  <si>
    <t>Effort Sharing sector GHG emissions (in scope since 2013)</t>
  </si>
  <si>
    <t xml:space="preserve">GHG emissions by IPCC sector and by gas (where relevant split into EU ETS and Effort Sharing sectors).  </t>
  </si>
  <si>
    <t>Please use for reporting on GHG emissions by IPCC sector and gas the same excel template as used for reporting on Annex XII to Commission Implementing Regulation (EU) 749/2014 (IPArticle23_table1), next due 15/3/2019. It is provided as separate file.</t>
  </si>
  <si>
    <t xml:space="preserve">GHG intensity of domestic power and heat generation </t>
  </si>
  <si>
    <t xml:space="preserve">GHG intensity of final energy consumption by sector </t>
  </si>
  <si>
    <r>
      <t xml:space="preserve">Disposable income of households </t>
    </r>
    <r>
      <rPr>
        <b/>
        <sz val="8"/>
        <color rgb="FFFF0000"/>
        <rFont val="Arial"/>
        <family val="2"/>
      </rPr>
      <t>(yearly)</t>
    </r>
  </si>
  <si>
    <t>Please specify the definition applied</t>
  </si>
  <si>
    <t xml:space="preserve"> Share of power generation from combined heat and power generation in total electricity generation (CHP electricity generation divided by the total gross electricity generation, including the generation in pumped storage power stations</t>
  </si>
  <si>
    <t xml:space="preserve"> Share of heat generation from combined heat and power generation in total heat generation (CHP heat generation divided by the total heat for district heating)</t>
  </si>
  <si>
    <t>In line with RED recast</t>
  </si>
  <si>
    <t>Add additional rows if necessary</t>
  </si>
  <si>
    <r>
      <t xml:space="preserve">Electricity and heat generation from renewable energy in buildings (as defined in Article 2(1) of Directive 2010/31/EU); this shall include, </t>
    </r>
    <r>
      <rPr>
        <b/>
        <sz val="11"/>
        <color rgb="FFFF0000"/>
        <rFont val="Calibri"/>
        <family val="2"/>
        <scheme val="minor"/>
      </rPr>
      <t>where available</t>
    </r>
    <r>
      <rPr>
        <b/>
        <sz val="11"/>
        <color theme="1"/>
        <rFont val="Calibri"/>
        <family val="2"/>
        <scheme val="minor"/>
      </rPr>
      <t>, disaggregated data on energy produced, consumed and injected into the grid by solar photovoltaic systems, solar thermal systems, biomass, heat pumps, geothermal systems, as well as all other decentralized renewables systems)</t>
    </r>
  </si>
  <si>
    <t>Please specify if Commission's proposal or other source was applied and in the latter case specify methodology</t>
  </si>
  <si>
    <r>
      <t xml:space="preserve">Cross-border interconnection capacities </t>
    </r>
    <r>
      <rPr>
        <b/>
        <sz val="8"/>
        <color rgb="FFFF0000"/>
        <rFont val="Arial"/>
        <family val="2"/>
      </rPr>
      <t>for electricity [the level of electricity interconnectivity in line with Article 4(d)(1) and the relevant annex of the Energy Union Governance regulation]</t>
    </r>
    <r>
      <rPr>
        <b/>
        <sz val="8"/>
        <rFont val="Arial"/>
        <family val="2"/>
      </rPr>
      <t xml:space="preserve"> and their projected usage rates [note that such information may not be available in standard energy system models; complementary tools or assumptions might be needed]</t>
    </r>
  </si>
  <si>
    <t>If more countries to be reported please add rows</t>
  </si>
  <si>
    <r>
      <t xml:space="preserve">Capacity electricity generation </t>
    </r>
    <r>
      <rPr>
        <b/>
        <sz val="8"/>
        <rFont val="Arial"/>
        <family val="2"/>
        <charset val="161"/>
      </rPr>
      <t xml:space="preserve">including retirements and new investments </t>
    </r>
    <r>
      <rPr>
        <sz val="8"/>
        <rFont val="Arial"/>
        <family val="2"/>
      </rPr>
      <t>[note: split between retirements and new investments may not be straightforward to obtain with standard models. Complementary assumptions may need to be made]</t>
    </r>
  </si>
  <si>
    <t>If applicable for H&amp;C obligation</t>
  </si>
  <si>
    <t>Comments MS</t>
  </si>
  <si>
    <t>Comments Commission</t>
  </si>
  <si>
    <t xml:space="preserve">RES-T share </t>
  </si>
  <si>
    <t>In line with RED recast (as per Art 25 (1))</t>
  </si>
  <si>
    <t>In line with RED recast (as per Art 7 (4))</t>
  </si>
  <si>
    <t>Contribution of biofuels and biogas produced from feedstock listed in part A of Annex IX and consumed in transport</t>
  </si>
  <si>
    <t>Contribution of biofuels and biogas produced from feedstock listed in part B of Annex IX and consumed in transport</t>
  </si>
  <si>
    <t>Contribution from biofuels, bioliquids and biomass fuels consumed in transport, produced from food or feed crops</t>
  </si>
  <si>
    <t>Contribution of other biofuels and consumed in transport</t>
  </si>
  <si>
    <t>Gross final consumption of waste heat and cold for heating and cooling</t>
  </si>
  <si>
    <t>Waste heat and cold share in gross final consumption for heating and cooling</t>
  </si>
  <si>
    <t>Gross final consumption of RES from district heating and cooling</t>
  </si>
  <si>
    <t>Gross final consumption of waste heat and cold from district heating and cooling</t>
  </si>
  <si>
    <t>(final consumption of renewable energy in transport as contribution to overall target</t>
  </si>
  <si>
    <t>Waste heat and cold share from district heating and cooling in gross final consumption for heating and cooling</t>
  </si>
  <si>
    <t>RES share from district heating and cooling in gross final consumption for heating and cooling</t>
  </si>
  <si>
    <r>
      <rPr>
        <b/>
        <sz val="14"/>
        <color theme="1"/>
        <rFont val="Calibri"/>
        <family val="2"/>
        <scheme val="minor"/>
      </rPr>
      <t xml:space="preserve">Guidance for the template on reporting of used parameters and variables included in Annex 1, part 2, of the provisionally agreed Energy Union Governance
</t>
    </r>
    <r>
      <rPr>
        <sz val="14"/>
        <color theme="1"/>
        <rFont val="Calibri"/>
        <family val="2"/>
        <scheme val="minor"/>
      </rPr>
      <t xml:space="preserve">
The aim of this excel file is to facilitate reporting of the quantitative parameters and variables under Annex I Part 2 in the indicated format
-  All parameters and variables highlighted in  green are already currently requested under existing legislation (MMR, RES Directive, or Energy Efficiency Directive), see e.g. http://cdr.eionet.europa.eu/help/mmr/MMR_projections_templates_2018.zip 
-  All energy related parameters and variables highlighted in red might require to rely on complementary tools than standard energy system models
-  All variables highligted in orange correspond to indicators to be computed on the basis of parameters and variables already available elsewhere in the excel file
-  The request for historical data relates to data if and when used in modelling
-  All monetary Euro values shall be expressed in constant 2016 prices.
-  Elements in </t>
    </r>
    <r>
      <rPr>
        <sz val="14"/>
        <color rgb="FFFF0000"/>
        <rFont val="Calibri"/>
        <family val="2"/>
        <scheme val="minor"/>
      </rPr>
      <t>red</t>
    </r>
    <r>
      <rPr>
        <sz val="14"/>
        <color theme="1"/>
        <rFont val="Calibri"/>
        <family val="2"/>
        <scheme val="minor"/>
      </rPr>
      <t xml:space="preserve"> font are meant to provide further precision to what is currently indicated in the template in the provisionally agreed Governance Regulation. They aim to provide additional guidance or specifications and should facilitate the better understanding of modelling results by the Commission. While they remain optional, their use is much encouraged.
-  Please report the used values for the years 2005 to 2040 in five yearly steps, and if possible yearly for 2021 to 2030 (the latter indicated in the red font as not required in the template in the Governance regulation).
- Column T can be used for comments that MS wish to provide (e.g. explanation of different methodology, caveats or sources of projections)</t>
    </r>
  </si>
  <si>
    <r>
      <rPr>
        <b/>
        <sz val="8"/>
        <color rgb="FFFF0000"/>
        <rFont val="Arial"/>
        <family val="2"/>
      </rPr>
      <t>1st main country (Russia)</t>
    </r>
    <r>
      <rPr>
        <b/>
        <sz val="8"/>
        <rFont val="Arial"/>
        <family val="2"/>
      </rPr>
      <t xml:space="preserve"> of origin of Gas Purchases</t>
    </r>
  </si>
  <si>
    <t>2nd main country (Hungary) of origin of Gas Purchases</t>
  </si>
  <si>
    <t>3rd main country (Austria) of origin of Gas Purchases</t>
  </si>
  <si>
    <r>
      <rPr>
        <b/>
        <sz val="8"/>
        <color rgb="FFFF0000"/>
        <rFont val="Arial"/>
        <family val="2"/>
      </rPr>
      <t>Main country (Slovenia)</t>
    </r>
    <r>
      <rPr>
        <b/>
        <sz val="8"/>
        <rFont val="Arial"/>
        <family val="2"/>
      </rPr>
      <t xml:space="preserve"> of origin of Electricity Purchases</t>
    </r>
  </si>
  <si>
    <t>Adapted from: Croatian Bureau of Statistics, Census of Population, Households and Dwellings 2011</t>
  </si>
  <si>
    <t>EUR/HRK</t>
  </si>
  <si>
    <t>GDP (EUR 2016)</t>
  </si>
  <si>
    <t>There is no Diesel consumption in households. It could be Extra light fuel oil.</t>
  </si>
  <si>
    <t>There are different prices for different categories of consumption.</t>
  </si>
  <si>
    <t>There are different prices for different gas distribution companies.</t>
  </si>
  <si>
    <t>Heating degree days are result of the model</t>
  </si>
  <si>
    <t>GHG emissions by policy sector (EU ETS, Effort Sharing Regulation and LULUCF)</t>
  </si>
  <si>
    <t>tCO2eq/mill.EUR2016(GDP)</t>
  </si>
  <si>
    <t>n.a.</t>
  </si>
  <si>
    <t>IEA WEO 2017</t>
  </si>
  <si>
    <t>Available only for previous period</t>
  </si>
  <si>
    <t>NPP located in Slovenia, 50% electricity used in Croatia</t>
  </si>
  <si>
    <t>A coal power unit of 100 MW studied for waste co-firing</t>
  </si>
  <si>
    <t>interconnection capacities (MVA) / peak load (MW) in %</t>
  </si>
  <si>
    <t>MW</t>
  </si>
  <si>
    <t>Primary energy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</si>
</sst>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General_)"/>
    <numFmt numFmtId="165" formatCode="0_)"/>
    <numFmt numFmtId="166" formatCode="0.0_)"/>
    <numFmt numFmtId="167" formatCode="0.00_)"/>
    <numFmt numFmtId="168" formatCode="0.0"/>
    <numFmt numFmtId="169" formatCode="0.0%"/>
    <numFmt numFmtId="170" formatCode="#,##0.000"/>
    <numFmt numFmtId="171" formatCode="#,##0.0"/>
    <numFmt numFmtId="172" formatCode="0.00000"/>
  </numFmts>
  <fonts count="32" x14ac:knownFonts="1">
    <font>
      <sz val="11"/>
      <color theme="1"/>
      <name val="Calibri"/>
      <family val="2"/>
      <scheme val="minor"/>
    </font>
    <font>
      <sz val="10"/>
      <name val="Courier"/>
      <family val="3"/>
    </font>
    <font>
      <b/>
      <sz val="8"/>
      <name val="Arial"/>
      <family val="2"/>
      <charset val="161"/>
    </font>
    <font>
      <sz val="8"/>
      <name val="Arial"/>
      <family val="2"/>
      <charset val="161"/>
    </font>
    <font>
      <sz val="8"/>
      <name val="Arial"/>
      <family val="2"/>
    </font>
    <font>
      <i/>
      <sz val="8"/>
      <name val="Arial"/>
      <family val="2"/>
    </font>
    <font>
      <b/>
      <sz val="8"/>
      <name val="Arial"/>
      <family val="2"/>
    </font>
    <font>
      <b/>
      <i/>
      <sz val="8"/>
      <name val="Arial"/>
      <family val="2"/>
    </font>
    <font>
      <b/>
      <sz val="12"/>
      <name val="Arial"/>
      <family val="2"/>
    </font>
    <font>
      <b/>
      <sz val="8"/>
      <color theme="1"/>
      <name val="Arial"/>
      <family val="2"/>
    </font>
    <font>
      <b/>
      <sz val="11"/>
      <color theme="1"/>
      <name val="Calibri"/>
      <family val="2"/>
      <scheme val="minor"/>
    </font>
    <font>
      <b/>
      <sz val="12"/>
      <color theme="1"/>
      <name val="Calibri"/>
      <family val="2"/>
      <scheme val="minor"/>
    </font>
    <font>
      <sz val="10"/>
      <name val="Arial"/>
      <family val="2"/>
    </font>
    <font>
      <b/>
      <sz val="12"/>
      <color rgb="FF000000"/>
      <name val="Times New Roman"/>
      <family val="1"/>
    </font>
    <font>
      <b/>
      <sz val="20"/>
      <color rgb="FF000000"/>
      <name val="Times New Roman"/>
      <family val="1"/>
    </font>
    <font>
      <b/>
      <sz val="12"/>
      <color rgb="FFFF0000"/>
      <name val="Times New Roman"/>
      <family val="1"/>
    </font>
    <font>
      <b/>
      <sz val="12"/>
      <name val="Calibri"/>
      <family val="2"/>
      <scheme val="minor"/>
    </font>
    <font>
      <sz val="8"/>
      <color theme="1"/>
      <name val="Arial"/>
      <family val="2"/>
    </font>
    <font>
      <sz val="12"/>
      <color rgb="FF000000"/>
      <name val="Times New Roman"/>
      <family val="1"/>
    </font>
    <font>
      <b/>
      <i/>
      <sz val="10"/>
      <color theme="1"/>
      <name val="Arial"/>
      <family val="2"/>
    </font>
    <font>
      <sz val="11"/>
      <color rgb="FFFF0000"/>
      <name val="Calibri"/>
      <family val="2"/>
      <scheme val="minor"/>
    </font>
    <font>
      <b/>
      <sz val="11"/>
      <color rgb="FFFF0000"/>
      <name val="Calibri"/>
      <family val="2"/>
      <scheme val="minor"/>
    </font>
    <font>
      <sz val="8"/>
      <color rgb="FFFF0000"/>
      <name val="Arial"/>
      <family val="2"/>
    </font>
    <font>
      <b/>
      <sz val="8"/>
      <color rgb="FFFF0000"/>
      <name val="Arial"/>
      <family val="2"/>
    </font>
    <font>
      <b/>
      <sz val="8"/>
      <color rgb="FFFF0000"/>
      <name val="Arial"/>
      <family val="2"/>
      <charset val="161"/>
    </font>
    <font>
      <sz val="8"/>
      <color rgb="FFFF0000"/>
      <name val="Arial"/>
      <family val="2"/>
      <charset val="161"/>
    </font>
    <font>
      <sz val="14"/>
      <color theme="1"/>
      <name val="Calibri"/>
      <family val="2"/>
      <scheme val="minor"/>
    </font>
    <font>
      <b/>
      <sz val="14"/>
      <color theme="1"/>
      <name val="Calibri"/>
      <family val="2"/>
      <scheme val="minor"/>
    </font>
    <font>
      <sz val="14"/>
      <color rgb="FFFF0000"/>
      <name val="Calibri"/>
      <family val="2"/>
      <scheme val="minor"/>
    </font>
    <font>
      <b/>
      <sz val="8"/>
      <color theme="1"/>
      <name val="Arial"/>
      <family val="2"/>
      <charset val="238"/>
    </font>
    <font>
      <b/>
      <sz val="8"/>
      <name val="Arial"/>
      <family val="2"/>
      <charset val="238"/>
    </font>
    <font>
      <i/>
      <sz val="8"/>
      <name val="Arial"/>
      <family val="2"/>
      <charset val="238"/>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92D050"/>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xf numFmtId="0" fontId="12" fillId="0" borderId="0"/>
  </cellStyleXfs>
  <cellXfs count="147">
    <xf numFmtId="0" fontId="0" fillId="0" borderId="0" xfId="0"/>
    <xf numFmtId="164" fontId="5" fillId="2" borderId="0" xfId="1" applyFont="1" applyFill="1" applyBorder="1" applyAlignment="1">
      <alignment horizontal="left" indent="2"/>
    </xf>
    <xf numFmtId="0" fontId="0" fillId="0" borderId="2" xfId="0" applyBorder="1"/>
    <xf numFmtId="164" fontId="3" fillId="2" borderId="2" xfId="1" applyFont="1" applyFill="1" applyBorder="1"/>
    <xf numFmtId="1" fontId="2" fillId="2" borderId="2" xfId="1" applyNumberFormat="1" applyFont="1" applyFill="1" applyBorder="1"/>
    <xf numFmtId="1" fontId="9" fillId="0" borderId="2" xfId="0" applyNumberFormat="1" applyFont="1" applyBorder="1"/>
    <xf numFmtId="166" fontId="2" fillId="2" borderId="2" xfId="1" applyNumberFormat="1" applyFont="1" applyFill="1" applyBorder="1"/>
    <xf numFmtId="0" fontId="10" fillId="0" borderId="2" xfId="0" applyFont="1" applyBorder="1"/>
    <xf numFmtId="0" fontId="10" fillId="0" borderId="2" xfId="0" applyFont="1" applyBorder="1" applyAlignment="1">
      <alignment horizontal="left"/>
    </xf>
    <xf numFmtId="167" fontId="3" fillId="2" borderId="2" xfId="1" applyNumberFormat="1" applyFont="1" applyFill="1" applyBorder="1"/>
    <xf numFmtId="165" fontId="2" fillId="2" borderId="2" xfId="1" applyNumberFormat="1" applyFont="1" applyFill="1" applyBorder="1"/>
    <xf numFmtId="164" fontId="7" fillId="2" borderId="2" xfId="1" applyFont="1" applyFill="1" applyBorder="1" applyAlignment="1">
      <alignment horizontal="left" indent="2"/>
    </xf>
    <xf numFmtId="167" fontId="6" fillId="2" borderId="2" xfId="1" applyNumberFormat="1" applyFont="1" applyFill="1" applyBorder="1"/>
    <xf numFmtId="0" fontId="0" fillId="0" borderId="2" xfId="0" applyBorder="1" applyAlignment="1">
      <alignment horizontal="center" vertical="center"/>
    </xf>
    <xf numFmtId="164" fontId="2" fillId="2" borderId="2" xfId="1" quotePrefix="1" applyFont="1" applyFill="1" applyBorder="1" applyAlignment="1">
      <alignment horizontal="center" vertical="center"/>
    </xf>
    <xf numFmtId="0" fontId="0" fillId="0" borderId="0" xfId="0" applyAlignment="1">
      <alignment horizontal="center" vertical="center"/>
    </xf>
    <xf numFmtId="0" fontId="10" fillId="2" borderId="2" xfId="0" applyFont="1" applyFill="1" applyBorder="1" applyAlignment="1">
      <alignment horizontal="left" wrapText="1"/>
    </xf>
    <xf numFmtId="0" fontId="10" fillId="2" borderId="2" xfId="0" applyFont="1" applyFill="1" applyBorder="1" applyAlignment="1">
      <alignment horizontal="left"/>
    </xf>
    <xf numFmtId="0" fontId="10" fillId="0" borderId="2" xfId="0" applyFont="1" applyBorder="1" applyAlignment="1">
      <alignment horizontal="right"/>
    </xf>
    <xf numFmtId="164" fontId="6" fillId="4" borderId="2" xfId="1" applyFont="1" applyFill="1" applyBorder="1" applyAlignment="1">
      <alignment horizontal="left" wrapText="1"/>
    </xf>
    <xf numFmtId="0" fontId="10" fillId="4" borderId="2" xfId="0" applyFont="1" applyFill="1" applyBorder="1" applyAlignment="1">
      <alignment horizontal="left" wrapText="1"/>
    </xf>
    <xf numFmtId="0" fontId="10" fillId="2" borderId="2" xfId="0" applyFont="1" applyFill="1" applyBorder="1" applyAlignment="1">
      <alignment horizontal="right"/>
    </xf>
    <xf numFmtId="0" fontId="0" fillId="2" borderId="2" xfId="0" applyFill="1" applyBorder="1" applyAlignment="1">
      <alignment horizontal="right"/>
    </xf>
    <xf numFmtId="0" fontId="10" fillId="2" borderId="2" xfId="0" applyFont="1" applyFill="1" applyBorder="1"/>
    <xf numFmtId="0" fontId="10" fillId="5" borderId="2" xfId="0" applyFont="1" applyFill="1" applyBorder="1" applyAlignment="1">
      <alignment horizontal="left" wrapText="1"/>
    </xf>
    <xf numFmtId="0" fontId="10" fillId="3" borderId="2" xfId="0" applyFont="1" applyFill="1" applyBorder="1" applyAlignment="1">
      <alignment horizontal="left" wrapText="1"/>
    </xf>
    <xf numFmtId="1" fontId="4" fillId="2" borderId="2" xfId="1" applyNumberFormat="1" applyFont="1" applyFill="1" applyBorder="1"/>
    <xf numFmtId="0" fontId="0" fillId="0" borderId="2" xfId="0" applyFont="1" applyBorder="1" applyAlignment="1">
      <alignment horizontal="right"/>
    </xf>
    <xf numFmtId="0" fontId="0" fillId="0" borderId="0" xfId="0" applyFont="1"/>
    <xf numFmtId="1" fontId="3" fillId="2" borderId="2" xfId="1" applyNumberFormat="1" applyFont="1" applyFill="1" applyBorder="1"/>
    <xf numFmtId="1" fontId="17" fillId="0" borderId="2" xfId="0" applyNumberFormat="1" applyFont="1" applyBorder="1"/>
    <xf numFmtId="2" fontId="2" fillId="2" borderId="2" xfId="1" applyNumberFormat="1" applyFont="1" applyFill="1" applyBorder="1"/>
    <xf numFmtId="164" fontId="8" fillId="2" borderId="2" xfId="1" applyFont="1" applyFill="1" applyBorder="1" applyAlignment="1">
      <alignment horizontal="left"/>
    </xf>
    <xf numFmtId="0" fontId="11" fillId="0" borderId="2" xfId="0" applyFont="1" applyBorder="1" applyAlignment="1">
      <alignment horizontal="left"/>
    </xf>
    <xf numFmtId="164" fontId="16" fillId="2" borderId="2" xfId="1" applyFont="1" applyFill="1" applyBorder="1" applyAlignment="1">
      <alignment horizontal="left"/>
    </xf>
    <xf numFmtId="0" fontId="11" fillId="0" borderId="2" xfId="0" applyFont="1" applyBorder="1" applyAlignment="1">
      <alignment horizontal="left" vertical="center"/>
    </xf>
    <xf numFmtId="164" fontId="2" fillId="2" borderId="2" xfId="1" applyFont="1" applyFill="1" applyBorder="1" applyAlignment="1">
      <alignment horizontal="center" vertical="center" wrapText="1"/>
    </xf>
    <xf numFmtId="164" fontId="2" fillId="3" borderId="2" xfId="1" applyFont="1" applyFill="1" applyBorder="1" applyAlignment="1">
      <alignment horizontal="left" wrapText="1"/>
    </xf>
    <xf numFmtId="164" fontId="2" fillId="2" borderId="2" xfId="1" applyFont="1" applyFill="1" applyBorder="1" applyAlignment="1">
      <alignment horizontal="left" wrapText="1"/>
    </xf>
    <xf numFmtId="164" fontId="3" fillId="2" borderId="2" xfId="1" applyFont="1" applyFill="1" applyBorder="1" applyAlignment="1">
      <alignment horizontal="left" wrapText="1"/>
    </xf>
    <xf numFmtId="164" fontId="6" fillId="3" borderId="2" xfId="1" applyFont="1" applyFill="1" applyBorder="1" applyAlignment="1">
      <alignment horizontal="left" wrapText="1"/>
    </xf>
    <xf numFmtId="164" fontId="4" fillId="3" borderId="2" xfId="1" applyFont="1" applyFill="1" applyBorder="1" applyAlignment="1">
      <alignment horizontal="left" wrapText="1"/>
    </xf>
    <xf numFmtId="164" fontId="4" fillId="2" borderId="2" xfId="1" applyFont="1" applyFill="1" applyBorder="1" applyAlignment="1">
      <alignment horizontal="left" wrapText="1"/>
    </xf>
    <xf numFmtId="164" fontId="3" fillId="3" borderId="2" xfId="1" applyFont="1" applyFill="1" applyBorder="1" applyAlignment="1">
      <alignment horizontal="left" wrapText="1"/>
    </xf>
    <xf numFmtId="164" fontId="2" fillId="5" borderId="2" xfId="1" applyFont="1" applyFill="1" applyBorder="1" applyAlignment="1">
      <alignment horizontal="left" wrapText="1"/>
    </xf>
    <xf numFmtId="164" fontId="6" fillId="5" borderId="2" xfId="1" applyFont="1" applyFill="1" applyBorder="1" applyAlignment="1">
      <alignment horizontal="left" wrapText="1"/>
    </xf>
    <xf numFmtId="164" fontId="2" fillId="4" borderId="2" xfId="1" applyFont="1" applyFill="1" applyBorder="1" applyAlignment="1">
      <alignment horizontal="left" wrapText="1"/>
    </xf>
    <xf numFmtId="164" fontId="3" fillId="4" borderId="2" xfId="1" applyFont="1" applyFill="1" applyBorder="1" applyAlignment="1">
      <alignment horizontal="left" wrapText="1"/>
    </xf>
    <xf numFmtId="164" fontId="7" fillId="3" borderId="2" xfId="1" applyFont="1" applyFill="1" applyBorder="1" applyAlignment="1">
      <alignment horizontal="left" wrapText="1"/>
    </xf>
    <xf numFmtId="164" fontId="7" fillId="2" borderId="2" xfId="1" applyFont="1" applyFill="1" applyBorder="1" applyAlignment="1">
      <alignment horizontal="left" wrapText="1"/>
    </xf>
    <xf numFmtId="164" fontId="3" fillId="5" borderId="2" xfId="1" applyFont="1" applyFill="1" applyBorder="1" applyAlignment="1">
      <alignment horizontal="left" wrapText="1"/>
    </xf>
    <xf numFmtId="0" fontId="6" fillId="0" borderId="2" xfId="2" applyFont="1" applyFill="1" applyBorder="1" applyAlignment="1">
      <alignment wrapText="1"/>
    </xf>
    <xf numFmtId="0" fontId="3" fillId="3" borderId="2" xfId="2" applyFont="1" applyFill="1" applyBorder="1" applyAlignment="1">
      <alignment horizontal="left" wrapText="1"/>
    </xf>
    <xf numFmtId="0" fontId="10" fillId="0" borderId="2" xfId="0" applyFont="1" applyBorder="1" applyAlignment="1">
      <alignment horizontal="left" wrapText="1"/>
    </xf>
    <xf numFmtId="0" fontId="0" fillId="3" borderId="2" xfId="0" applyFont="1" applyFill="1" applyBorder="1" applyAlignment="1">
      <alignment horizontal="left" wrapText="1"/>
    </xf>
    <xf numFmtId="164" fontId="3" fillId="2" borderId="0" xfId="1" applyFont="1" applyFill="1" applyAlignment="1">
      <alignment horizontal="left" wrapText="1"/>
    </xf>
    <xf numFmtId="0" fontId="0" fillId="0" borderId="0" xfId="0" applyAlignment="1">
      <alignment wrapText="1"/>
    </xf>
    <xf numFmtId="164" fontId="2" fillId="2" borderId="2" xfId="1" applyFont="1" applyFill="1" applyBorder="1" applyAlignment="1">
      <alignment horizontal="left" vertical="center" wrapText="1"/>
    </xf>
    <xf numFmtId="0" fontId="6" fillId="0" borderId="2" xfId="2" applyFont="1" applyFill="1" applyBorder="1" applyAlignment="1">
      <alignment horizontal="left" wrapText="1"/>
    </xf>
    <xf numFmtId="0" fontId="0" fillId="0" borderId="0" xfId="0" applyAlignment="1">
      <alignment horizontal="left" wrapText="1"/>
    </xf>
    <xf numFmtId="164" fontId="3" fillId="2" borderId="2" xfId="1" applyFont="1" applyFill="1" applyBorder="1" applyAlignment="1">
      <alignment horizontal="left" wrapText="1" indent="1"/>
    </xf>
    <xf numFmtId="164" fontId="3" fillId="5" borderId="2" xfId="1" applyFont="1" applyFill="1" applyBorder="1" applyAlignment="1">
      <alignment horizontal="left" wrapText="1" indent="1"/>
    </xf>
    <xf numFmtId="0" fontId="0" fillId="3" borderId="2" xfId="0" applyFont="1" applyFill="1" applyBorder="1" applyAlignment="1">
      <alignment horizontal="left" wrapText="1" indent="1"/>
    </xf>
    <xf numFmtId="164" fontId="3" fillId="3" borderId="2" xfId="1" applyFont="1" applyFill="1" applyBorder="1" applyAlignment="1">
      <alignment horizontal="left" wrapText="1" indent="1"/>
    </xf>
    <xf numFmtId="0" fontId="3" fillId="3" borderId="2" xfId="2" applyFont="1" applyFill="1" applyBorder="1" applyAlignment="1">
      <alignment horizontal="left" wrapText="1" indent="1"/>
    </xf>
    <xf numFmtId="164" fontId="4" fillId="3" borderId="2" xfId="1" applyFont="1" applyFill="1" applyBorder="1" applyAlignment="1">
      <alignment horizontal="left" wrapText="1" indent="1"/>
    </xf>
    <xf numFmtId="164" fontId="5" fillId="4" borderId="2" xfId="1" applyFont="1" applyFill="1" applyBorder="1" applyAlignment="1">
      <alignment horizontal="left" wrapText="1" indent="2"/>
    </xf>
    <xf numFmtId="164" fontId="3" fillId="4" borderId="2" xfId="1" applyFont="1" applyFill="1" applyBorder="1" applyAlignment="1">
      <alignment horizontal="left" wrapText="1" indent="2"/>
    </xf>
    <xf numFmtId="164" fontId="2" fillId="2" borderId="2" xfId="1" applyFont="1" applyFill="1" applyBorder="1" applyAlignment="1">
      <alignment horizontal="left" wrapText="1" indent="1"/>
    </xf>
    <xf numFmtId="164" fontId="2" fillId="3" borderId="2" xfId="1" applyFont="1" applyFill="1" applyBorder="1" applyAlignment="1">
      <alignment horizontal="left" wrapText="1" indent="1"/>
    </xf>
    <xf numFmtId="164" fontId="5" fillId="4" borderId="2" xfId="1" applyFont="1" applyFill="1" applyBorder="1" applyAlignment="1">
      <alignment horizontal="left" wrapText="1"/>
    </xf>
    <xf numFmtId="164" fontId="6" fillId="6" borderId="2" xfId="1" applyFont="1" applyFill="1" applyBorder="1" applyAlignment="1">
      <alignment horizontal="left" wrapText="1"/>
    </xf>
    <xf numFmtId="164" fontId="4" fillId="6" borderId="2" xfId="1" applyFont="1" applyFill="1" applyBorder="1" applyAlignment="1">
      <alignment horizontal="left" wrapText="1"/>
    </xf>
    <xf numFmtId="164" fontId="3" fillId="6" borderId="2" xfId="1" applyFont="1" applyFill="1" applyBorder="1" applyAlignment="1">
      <alignment horizontal="left" wrapText="1"/>
    </xf>
    <xf numFmtId="0" fontId="21" fillId="0" borderId="2" xfId="0" applyFont="1" applyBorder="1" applyAlignment="1">
      <alignment horizontal="center" vertical="center"/>
    </xf>
    <xf numFmtId="1" fontId="3" fillId="2" borderId="2" xfId="1" applyNumberFormat="1" applyFont="1" applyFill="1" applyBorder="1" applyAlignment="1"/>
    <xf numFmtId="0" fontId="0" fillId="0" borderId="2" xfId="0" applyFont="1" applyBorder="1"/>
    <xf numFmtId="0" fontId="0" fillId="3" borderId="4" xfId="0" applyFill="1" applyBorder="1"/>
    <xf numFmtId="0" fontId="0" fillId="0" borderId="4" xfId="0" applyBorder="1"/>
    <xf numFmtId="0" fontId="0" fillId="4" borderId="4" xfId="0" applyFill="1" applyBorder="1"/>
    <xf numFmtId="0" fontId="0" fillId="6" borderId="4" xfId="0" applyFill="1" applyBorder="1"/>
    <xf numFmtId="164" fontId="22" fillId="2" borderId="2" xfId="1" applyFont="1" applyFill="1" applyBorder="1" applyAlignment="1">
      <alignment horizontal="left" wrapText="1"/>
    </xf>
    <xf numFmtId="0" fontId="20" fillId="0" borderId="2" xfId="0" applyFont="1" applyBorder="1"/>
    <xf numFmtId="0" fontId="21" fillId="0" borderId="2" xfId="0" applyFont="1" applyBorder="1"/>
    <xf numFmtId="164" fontId="23" fillId="3" borderId="2" xfId="1" applyFont="1" applyFill="1" applyBorder="1" applyAlignment="1">
      <alignment horizontal="left" wrapText="1" indent="1"/>
    </xf>
    <xf numFmtId="164" fontId="23" fillId="5" borderId="2" xfId="1" applyFont="1" applyFill="1" applyBorder="1" applyAlignment="1">
      <alignment horizontal="left" wrapText="1"/>
    </xf>
    <xf numFmtId="164" fontId="23" fillId="4" borderId="2" xfId="1" applyFont="1" applyFill="1" applyBorder="1" applyAlignment="1">
      <alignment horizontal="left" wrapText="1"/>
    </xf>
    <xf numFmtId="0" fontId="21" fillId="0" borderId="2" xfId="0" applyFont="1" applyBorder="1" applyAlignment="1">
      <alignment horizontal="left" vertical="center"/>
    </xf>
    <xf numFmtId="164" fontId="22" fillId="3" borderId="2" xfId="1" applyFont="1" applyFill="1" applyBorder="1" applyAlignment="1">
      <alignment horizontal="left" wrapText="1" indent="1"/>
    </xf>
    <xf numFmtId="0" fontId="14" fillId="0" borderId="1" xfId="0" applyFont="1" applyBorder="1" applyAlignment="1">
      <alignment horizontal="center" wrapText="1"/>
    </xf>
    <xf numFmtId="0" fontId="13" fillId="3" borderId="1" xfId="0" applyFont="1" applyFill="1" applyBorder="1" applyAlignment="1">
      <alignment horizontal="center" wrapText="1"/>
    </xf>
    <xf numFmtId="0" fontId="13" fillId="4" borderId="1" xfId="0" applyFont="1" applyFill="1" applyBorder="1" applyAlignment="1">
      <alignment horizontal="center"/>
    </xf>
    <xf numFmtId="0" fontId="13" fillId="6" borderId="1" xfId="0" applyFont="1" applyFill="1" applyBorder="1" applyAlignment="1">
      <alignment horizontal="center"/>
    </xf>
    <xf numFmtId="1" fontId="20" fillId="2" borderId="2" xfId="1" applyNumberFormat="1" applyFont="1" applyFill="1" applyBorder="1"/>
    <xf numFmtId="164" fontId="24" fillId="4" borderId="2" xfId="1" applyFont="1" applyFill="1" applyBorder="1" applyAlignment="1">
      <alignment horizontal="left" wrapText="1"/>
    </xf>
    <xf numFmtId="164" fontId="22" fillId="6" borderId="2" xfId="1" applyFont="1" applyFill="1" applyBorder="1" applyAlignment="1">
      <alignment horizontal="left" wrapText="1"/>
    </xf>
    <xf numFmtId="164" fontId="22" fillId="3" borderId="2" xfId="1" applyFont="1" applyFill="1" applyBorder="1" applyAlignment="1">
      <alignment horizontal="left" wrapText="1"/>
    </xf>
    <xf numFmtId="164" fontId="24" fillId="2" borderId="2" xfId="1" quotePrefix="1" applyFont="1" applyFill="1" applyBorder="1" applyAlignment="1">
      <alignment horizontal="center" vertical="center"/>
    </xf>
    <xf numFmtId="164" fontId="25" fillId="3" borderId="2" xfId="1" applyFont="1" applyFill="1" applyBorder="1" applyAlignment="1">
      <alignment horizontal="left" wrapText="1"/>
    </xf>
    <xf numFmtId="164" fontId="22" fillId="7" borderId="2" xfId="1" applyFont="1" applyFill="1" applyBorder="1" applyAlignment="1">
      <alignment horizontal="left" wrapText="1"/>
    </xf>
    <xf numFmtId="168" fontId="9" fillId="0" borderId="2" xfId="0" applyNumberFormat="1" applyFont="1" applyBorder="1"/>
    <xf numFmtId="1" fontId="19" fillId="0" borderId="4" xfId="0" applyNumberFormat="1" applyFont="1" applyBorder="1" applyAlignment="1">
      <alignment horizontal="center" vertical="center" wrapText="1"/>
    </xf>
    <xf numFmtId="170" fontId="9" fillId="0" borderId="2" xfId="0" applyNumberFormat="1" applyFont="1" applyBorder="1"/>
    <xf numFmtId="170" fontId="9" fillId="0" borderId="2" xfId="0" applyNumberFormat="1" applyFont="1" applyFill="1" applyBorder="1"/>
    <xf numFmtId="171" fontId="9" fillId="0" borderId="2" xfId="0" applyNumberFormat="1" applyFont="1" applyBorder="1"/>
    <xf numFmtId="2" fontId="9" fillId="0" borderId="2" xfId="0" applyNumberFormat="1" applyFont="1" applyFill="1" applyBorder="1"/>
    <xf numFmtId="172" fontId="9" fillId="0" borderId="2" xfId="0" applyNumberFormat="1" applyFont="1" applyFill="1" applyBorder="1"/>
    <xf numFmtId="172" fontId="9" fillId="0" borderId="2" xfId="0" applyNumberFormat="1" applyFont="1" applyBorder="1"/>
    <xf numFmtId="3" fontId="9" fillId="0" borderId="2" xfId="0" applyNumberFormat="1" applyFont="1" applyFill="1" applyBorder="1"/>
    <xf numFmtId="3" fontId="9" fillId="0" borderId="2" xfId="0" applyNumberFormat="1" applyFont="1" applyBorder="1"/>
    <xf numFmtId="1" fontId="9" fillId="0" borderId="2" xfId="0" applyNumberFormat="1" applyFont="1" applyFill="1" applyBorder="1"/>
    <xf numFmtId="1" fontId="9" fillId="2" borderId="2" xfId="0" applyNumberFormat="1" applyFont="1" applyFill="1" applyBorder="1"/>
    <xf numFmtId="0" fontId="9" fillId="0" borderId="2" xfId="0" applyNumberFormat="1" applyFont="1" applyBorder="1" applyAlignment="1">
      <alignment wrapText="1"/>
    </xf>
    <xf numFmtId="168" fontId="6" fillId="0" borderId="2" xfId="0" applyNumberFormat="1" applyFont="1" applyBorder="1"/>
    <xf numFmtId="168" fontId="9" fillId="2" borderId="2" xfId="0" applyNumberFormat="1" applyFont="1" applyFill="1" applyBorder="1"/>
    <xf numFmtId="1" fontId="6" fillId="2" borderId="2" xfId="0" applyNumberFormat="1" applyFont="1" applyFill="1" applyBorder="1"/>
    <xf numFmtId="169" fontId="9" fillId="2" borderId="2" xfId="0" applyNumberFormat="1" applyFont="1" applyFill="1" applyBorder="1"/>
    <xf numFmtId="169" fontId="6" fillId="2" borderId="2" xfId="0" applyNumberFormat="1" applyFont="1" applyFill="1" applyBorder="1"/>
    <xf numFmtId="169" fontId="29" fillId="2" borderId="2" xfId="0" applyNumberFormat="1" applyFont="1" applyFill="1" applyBorder="1"/>
    <xf numFmtId="168" fontId="6" fillId="2" borderId="2" xfId="0" applyNumberFormat="1" applyFont="1" applyFill="1" applyBorder="1"/>
    <xf numFmtId="1" fontId="17" fillId="0" borderId="2" xfId="0" applyNumberFormat="1" applyFont="1" applyFill="1" applyBorder="1"/>
    <xf numFmtId="1" fontId="2" fillId="0" borderId="2" xfId="1" applyNumberFormat="1" applyFont="1" applyFill="1" applyBorder="1"/>
    <xf numFmtId="167" fontId="6" fillId="0" borderId="2" xfId="1" applyNumberFormat="1" applyFont="1" applyFill="1" applyBorder="1"/>
    <xf numFmtId="167" fontId="3" fillId="0" borderId="2" xfId="1" applyNumberFormat="1" applyFont="1" applyFill="1" applyBorder="1"/>
    <xf numFmtId="2" fontId="2" fillId="0" borderId="2" xfId="1" applyNumberFormat="1" applyFont="1" applyFill="1" applyBorder="1" applyAlignment="1">
      <alignment horizontal="right" vertical="center"/>
    </xf>
    <xf numFmtId="165" fontId="2" fillId="0" borderId="2" xfId="1" applyNumberFormat="1" applyFont="1" applyFill="1" applyBorder="1" applyAlignment="1">
      <alignment horizontal="right" vertical="center"/>
    </xf>
    <xf numFmtId="166" fontId="2" fillId="0" borderId="2" xfId="1" applyNumberFormat="1" applyFont="1" applyFill="1" applyBorder="1" applyAlignment="1">
      <alignment horizontal="right" vertical="center"/>
    </xf>
    <xf numFmtId="164" fontId="7" fillId="0" borderId="2" xfId="1" applyFont="1" applyFill="1" applyBorder="1" applyAlignment="1">
      <alignment vertical="center"/>
    </xf>
    <xf numFmtId="2" fontId="30" fillId="0" borderId="2" xfId="1" applyNumberFormat="1" applyFont="1" applyFill="1" applyBorder="1"/>
    <xf numFmtId="2" fontId="31" fillId="0" borderId="2" xfId="1" applyNumberFormat="1" applyFont="1" applyFill="1" applyBorder="1"/>
    <xf numFmtId="2" fontId="2" fillId="0" borderId="2" xfId="1" applyNumberFormat="1" applyFont="1" applyFill="1" applyBorder="1"/>
    <xf numFmtId="0" fontId="26" fillId="0" borderId="0" xfId="0" applyFont="1" applyAlignment="1">
      <alignment horizontal="left" vertical="top" wrapText="1"/>
    </xf>
    <xf numFmtId="1" fontId="19" fillId="0" borderId="3"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1" fontId="19" fillId="0" borderId="4" xfId="0" applyNumberFormat="1" applyFont="1" applyFill="1" applyBorder="1" applyAlignment="1">
      <alignment horizontal="center" vertical="center" wrapText="1"/>
    </xf>
    <xf numFmtId="164" fontId="8" fillId="2" borderId="2" xfId="1" applyFont="1" applyFill="1" applyBorder="1" applyAlignment="1">
      <alignment horizontal="left"/>
    </xf>
    <xf numFmtId="0" fontId="14" fillId="0" borderId="3" xfId="0" applyFont="1" applyBorder="1" applyAlignment="1">
      <alignment horizontal="center" wrapText="1"/>
    </xf>
    <xf numFmtId="0" fontId="14" fillId="0" borderId="1" xfId="0" applyFont="1" applyBorder="1" applyAlignment="1">
      <alignment horizontal="center" wrapText="1"/>
    </xf>
    <xf numFmtId="0" fontId="13" fillId="3" borderId="3" xfId="0" applyFont="1" applyFill="1" applyBorder="1" applyAlignment="1">
      <alignment horizontal="center" wrapText="1"/>
    </xf>
    <xf numFmtId="0" fontId="13" fillId="3" borderId="1" xfId="0" applyFont="1" applyFill="1" applyBorder="1" applyAlignment="1">
      <alignment horizontal="center" wrapText="1"/>
    </xf>
    <xf numFmtId="0" fontId="13" fillId="4" borderId="3" xfId="0" applyFont="1" applyFill="1" applyBorder="1" applyAlignment="1">
      <alignment horizontal="center"/>
    </xf>
    <xf numFmtId="0" fontId="13" fillId="4" borderId="1" xfId="0" applyFont="1" applyFill="1" applyBorder="1" applyAlignment="1">
      <alignment horizontal="center"/>
    </xf>
    <xf numFmtId="0" fontId="13" fillId="6" borderId="3" xfId="0" applyFont="1" applyFill="1" applyBorder="1" applyAlignment="1">
      <alignment horizontal="center"/>
    </xf>
    <xf numFmtId="0" fontId="13" fillId="6" borderId="1" xfId="0" applyFont="1" applyFill="1" applyBorder="1" applyAlignment="1">
      <alignment horizontal="center"/>
    </xf>
    <xf numFmtId="0" fontId="11" fillId="0" borderId="2" xfId="0" applyFont="1" applyBorder="1" applyAlignment="1">
      <alignment horizontal="left"/>
    </xf>
    <xf numFmtId="164" fontId="16" fillId="2" borderId="2" xfId="1" applyFont="1" applyFill="1" applyBorder="1" applyAlignment="1">
      <alignment horizontal="left"/>
    </xf>
    <xf numFmtId="0" fontId="11" fillId="0" borderId="2" xfId="0" applyFont="1" applyBorder="1" applyAlignment="1">
      <alignment horizontal="left" vertical="center"/>
    </xf>
  </cellXfs>
  <cellStyles count="3">
    <cellStyle name="Normal_AppendixAU" xfId="1" xr:uid="{00000000-0005-0000-0000-000001000000}"/>
    <cellStyle name="Normal_detfuelpri"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L14"/>
  <sheetViews>
    <sheetView workbookViewId="0">
      <selection activeCell="A18" sqref="A18"/>
    </sheetView>
  </sheetViews>
  <sheetFormatPr defaultRowHeight="14.4" x14ac:dyDescent="0.3"/>
  <cols>
    <col min="1" max="1" width="126.5546875" customWidth="1"/>
    <col min="2" max="11" width="9.109375" hidden="1" customWidth="1"/>
    <col min="12" max="12" width="10" hidden="1" customWidth="1"/>
  </cols>
  <sheetData>
    <row r="2" spans="1:12" x14ac:dyDescent="0.3">
      <c r="A2" s="131" t="s">
        <v>198</v>
      </c>
      <c r="B2" s="131"/>
      <c r="C2" s="131"/>
      <c r="D2" s="131"/>
      <c r="E2" s="131"/>
      <c r="F2" s="131"/>
      <c r="G2" s="131"/>
      <c r="H2" s="131"/>
      <c r="I2" s="131"/>
      <c r="J2" s="131"/>
      <c r="K2" s="131"/>
      <c r="L2" s="131"/>
    </row>
    <row r="3" spans="1:12" x14ac:dyDescent="0.3">
      <c r="A3" s="131"/>
      <c r="B3" s="131"/>
      <c r="C3" s="131"/>
      <c r="D3" s="131"/>
      <c r="E3" s="131"/>
      <c r="F3" s="131"/>
      <c r="G3" s="131"/>
      <c r="H3" s="131"/>
      <c r="I3" s="131"/>
      <c r="J3" s="131"/>
      <c r="K3" s="131"/>
      <c r="L3" s="131"/>
    </row>
    <row r="4" spans="1:12" x14ac:dyDescent="0.3">
      <c r="A4" s="131"/>
      <c r="B4" s="131"/>
      <c r="C4" s="131"/>
      <c r="D4" s="131"/>
      <c r="E4" s="131"/>
      <c r="F4" s="131"/>
      <c r="G4" s="131"/>
      <c r="H4" s="131"/>
      <c r="I4" s="131"/>
      <c r="J4" s="131"/>
      <c r="K4" s="131"/>
      <c r="L4" s="131"/>
    </row>
    <row r="5" spans="1:12" x14ac:dyDescent="0.3">
      <c r="A5" s="131"/>
      <c r="B5" s="131"/>
      <c r="C5" s="131"/>
      <c r="D5" s="131"/>
      <c r="E5" s="131"/>
      <c r="F5" s="131"/>
      <c r="G5" s="131"/>
      <c r="H5" s="131"/>
      <c r="I5" s="131"/>
      <c r="J5" s="131"/>
      <c r="K5" s="131"/>
      <c r="L5" s="131"/>
    </row>
    <row r="6" spans="1:12" x14ac:dyDescent="0.3">
      <c r="A6" s="131"/>
      <c r="B6" s="131"/>
      <c r="C6" s="131"/>
      <c r="D6" s="131"/>
      <c r="E6" s="131"/>
      <c r="F6" s="131"/>
      <c r="G6" s="131"/>
      <c r="H6" s="131"/>
      <c r="I6" s="131"/>
      <c r="J6" s="131"/>
      <c r="K6" s="131"/>
      <c r="L6" s="131"/>
    </row>
    <row r="7" spans="1:12" x14ac:dyDescent="0.3">
      <c r="A7" s="131"/>
      <c r="B7" s="131"/>
      <c r="C7" s="131"/>
      <c r="D7" s="131"/>
      <c r="E7" s="131"/>
      <c r="F7" s="131"/>
      <c r="G7" s="131"/>
      <c r="H7" s="131"/>
      <c r="I7" s="131"/>
      <c r="J7" s="131"/>
      <c r="K7" s="131"/>
      <c r="L7" s="131"/>
    </row>
    <row r="8" spans="1:12" x14ac:dyDescent="0.3">
      <c r="A8" s="131"/>
      <c r="B8" s="131"/>
      <c r="C8" s="131"/>
      <c r="D8" s="131"/>
      <c r="E8" s="131"/>
      <c r="F8" s="131"/>
      <c r="G8" s="131"/>
      <c r="H8" s="131"/>
      <c r="I8" s="131"/>
      <c r="J8" s="131"/>
      <c r="K8" s="131"/>
      <c r="L8" s="131"/>
    </row>
    <row r="9" spans="1:12" x14ac:dyDescent="0.3">
      <c r="A9" s="131"/>
      <c r="B9" s="131"/>
      <c r="C9" s="131"/>
      <c r="D9" s="131"/>
      <c r="E9" s="131"/>
      <c r="F9" s="131"/>
      <c r="G9" s="131"/>
      <c r="H9" s="131"/>
      <c r="I9" s="131"/>
      <c r="J9" s="131"/>
      <c r="K9" s="131"/>
      <c r="L9" s="131"/>
    </row>
    <row r="10" spans="1:12" x14ac:dyDescent="0.3">
      <c r="A10" s="131"/>
      <c r="B10" s="131"/>
      <c r="C10" s="131"/>
      <c r="D10" s="131"/>
      <c r="E10" s="131"/>
      <c r="F10" s="131"/>
      <c r="G10" s="131"/>
      <c r="H10" s="131"/>
      <c r="I10" s="131"/>
      <c r="J10" s="131"/>
      <c r="K10" s="131"/>
      <c r="L10" s="131"/>
    </row>
    <row r="11" spans="1:12" x14ac:dyDescent="0.3">
      <c r="A11" s="131"/>
      <c r="B11" s="131"/>
      <c r="C11" s="131"/>
      <c r="D11" s="131"/>
      <c r="E11" s="131"/>
      <c r="F11" s="131"/>
      <c r="G11" s="131"/>
      <c r="H11" s="131"/>
      <c r="I11" s="131"/>
      <c r="J11" s="131"/>
      <c r="K11" s="131"/>
      <c r="L11" s="131"/>
    </row>
    <row r="12" spans="1:12" x14ac:dyDescent="0.3">
      <c r="A12" s="131"/>
      <c r="B12" s="131"/>
      <c r="C12" s="131"/>
      <c r="D12" s="131"/>
      <c r="E12" s="131"/>
      <c r="F12" s="131"/>
      <c r="G12" s="131"/>
      <c r="H12" s="131"/>
      <c r="I12" s="131"/>
      <c r="J12" s="131"/>
      <c r="K12" s="131"/>
      <c r="L12" s="131"/>
    </row>
    <row r="13" spans="1:12" x14ac:dyDescent="0.3">
      <c r="A13" s="131"/>
      <c r="B13" s="131"/>
      <c r="C13" s="131"/>
      <c r="D13" s="131"/>
      <c r="E13" s="131"/>
      <c r="F13" s="131"/>
      <c r="G13" s="131"/>
      <c r="H13" s="131"/>
      <c r="I13" s="131"/>
      <c r="J13" s="131"/>
      <c r="K13" s="131"/>
      <c r="L13" s="131"/>
    </row>
    <row r="14" spans="1:12" ht="307.5" customHeight="1" x14ac:dyDescent="0.3">
      <c r="A14" s="131"/>
      <c r="B14" s="131"/>
      <c r="C14" s="131"/>
      <c r="D14" s="131"/>
      <c r="E14" s="131"/>
      <c r="F14" s="131"/>
      <c r="G14" s="131"/>
      <c r="H14" s="131"/>
      <c r="I14" s="131"/>
      <c r="J14" s="131"/>
      <c r="K14" s="131"/>
      <c r="L14" s="131"/>
    </row>
  </sheetData>
  <mergeCells count="1">
    <mergeCell ref="A2:L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203"/>
  <sheetViews>
    <sheetView tabSelected="1" zoomScale="110" zoomScaleNormal="110" workbookViewId="0">
      <pane xSplit="3" ySplit="5" topLeftCell="D199" activePane="bottomRight" state="frozen"/>
      <selection pane="topRight" activeCell="D1" sqref="D1"/>
      <selection pane="bottomLeft" activeCell="A6" sqref="A6"/>
      <selection pane="bottomRight" activeCell="F202" sqref="F202"/>
    </sheetView>
  </sheetViews>
  <sheetFormatPr defaultRowHeight="14.4" x14ac:dyDescent="0.3"/>
  <cols>
    <col min="1" max="1" width="3" customWidth="1"/>
    <col min="2" max="2" width="45.33203125" style="59" customWidth="1"/>
    <col min="3" max="3" width="14.44140625" style="56" customWidth="1"/>
    <col min="4" max="6" width="10.5546875" bestFit="1" customWidth="1"/>
    <col min="7" max="16" width="10.5546875" customWidth="1"/>
    <col min="17" max="18" width="10.5546875" bestFit="1" customWidth="1"/>
    <col min="19" max="19" width="11.109375" customWidth="1"/>
    <col min="20" max="20" width="21.6640625" customWidth="1"/>
    <col min="21" max="21" width="50.6640625" customWidth="1"/>
  </cols>
  <sheetData>
    <row r="1" spans="1:21" ht="47.25" customHeight="1" x14ac:dyDescent="0.4">
      <c r="A1" s="136" t="s">
        <v>161</v>
      </c>
      <c r="B1" s="137"/>
      <c r="C1" s="137"/>
      <c r="D1" s="137"/>
      <c r="E1" s="137"/>
      <c r="F1" s="137"/>
      <c r="G1" s="137"/>
      <c r="H1" s="137"/>
      <c r="I1" s="137"/>
      <c r="J1" s="137"/>
      <c r="K1" s="137"/>
      <c r="L1" s="137"/>
      <c r="M1" s="137"/>
      <c r="N1" s="137"/>
      <c r="O1" s="137"/>
      <c r="P1" s="137"/>
      <c r="Q1" s="137"/>
      <c r="R1" s="137"/>
      <c r="S1" s="137"/>
      <c r="T1" s="89"/>
      <c r="U1" s="78"/>
    </row>
    <row r="2" spans="1:21" ht="36" customHeight="1" x14ac:dyDescent="0.3">
      <c r="A2" s="138" t="s">
        <v>160</v>
      </c>
      <c r="B2" s="139"/>
      <c r="C2" s="139"/>
      <c r="D2" s="139"/>
      <c r="E2" s="139"/>
      <c r="F2" s="139"/>
      <c r="G2" s="139"/>
      <c r="H2" s="139"/>
      <c r="I2" s="139"/>
      <c r="J2" s="139"/>
      <c r="K2" s="139"/>
      <c r="L2" s="139"/>
      <c r="M2" s="139"/>
      <c r="N2" s="139"/>
      <c r="O2" s="139"/>
      <c r="P2" s="139"/>
      <c r="Q2" s="139"/>
      <c r="R2" s="139"/>
      <c r="S2" s="139"/>
      <c r="T2" s="90"/>
      <c r="U2" s="77"/>
    </row>
    <row r="3" spans="1:21" ht="15.6" x14ac:dyDescent="0.3">
      <c r="A3" s="140" t="s">
        <v>157</v>
      </c>
      <c r="B3" s="141"/>
      <c r="C3" s="141"/>
      <c r="D3" s="141"/>
      <c r="E3" s="141"/>
      <c r="F3" s="141"/>
      <c r="G3" s="141"/>
      <c r="H3" s="141"/>
      <c r="I3" s="141"/>
      <c r="J3" s="141"/>
      <c r="K3" s="141"/>
      <c r="L3" s="141"/>
      <c r="M3" s="141"/>
      <c r="N3" s="141"/>
      <c r="O3" s="141"/>
      <c r="P3" s="141"/>
      <c r="Q3" s="141"/>
      <c r="R3" s="141"/>
      <c r="S3" s="141"/>
      <c r="T3" s="91"/>
      <c r="U3" s="79"/>
    </row>
    <row r="4" spans="1:21" ht="15.6" x14ac:dyDescent="0.3">
      <c r="A4" s="142" t="s">
        <v>154</v>
      </c>
      <c r="B4" s="143"/>
      <c r="C4" s="143"/>
      <c r="D4" s="143"/>
      <c r="E4" s="143"/>
      <c r="F4" s="143"/>
      <c r="G4" s="143"/>
      <c r="H4" s="143"/>
      <c r="I4" s="143"/>
      <c r="J4" s="143"/>
      <c r="K4" s="143"/>
      <c r="L4" s="143"/>
      <c r="M4" s="143"/>
      <c r="N4" s="143"/>
      <c r="O4" s="143"/>
      <c r="P4" s="143"/>
      <c r="Q4" s="143"/>
      <c r="R4" s="143"/>
      <c r="S4" s="143"/>
      <c r="T4" s="92"/>
      <c r="U4" s="80"/>
    </row>
    <row r="5" spans="1:21" s="15" customFormat="1" x14ac:dyDescent="0.3">
      <c r="A5" s="13"/>
      <c r="B5" s="57"/>
      <c r="C5" s="36" t="s">
        <v>57</v>
      </c>
      <c r="D5" s="14">
        <v>2005</v>
      </c>
      <c r="E5" s="14">
        <v>2010</v>
      </c>
      <c r="F5" s="14">
        <v>2015</v>
      </c>
      <c r="G5" s="14">
        <v>2020</v>
      </c>
      <c r="H5" s="97">
        <v>2021</v>
      </c>
      <c r="I5" s="97">
        <v>2022</v>
      </c>
      <c r="J5" s="97">
        <v>2023</v>
      </c>
      <c r="K5" s="97">
        <v>2024</v>
      </c>
      <c r="L5" s="14">
        <v>2025</v>
      </c>
      <c r="M5" s="97">
        <v>2026</v>
      </c>
      <c r="N5" s="97">
        <v>2027</v>
      </c>
      <c r="O5" s="97">
        <v>2028</v>
      </c>
      <c r="P5" s="97">
        <v>2029</v>
      </c>
      <c r="Q5" s="14">
        <v>2030</v>
      </c>
      <c r="R5" s="14">
        <v>2035</v>
      </c>
      <c r="S5" s="14">
        <v>2040</v>
      </c>
      <c r="T5" s="14" t="s">
        <v>182</v>
      </c>
      <c r="U5" s="87" t="s">
        <v>183</v>
      </c>
    </row>
    <row r="6" spans="1:21" ht="15.6" x14ac:dyDescent="0.3">
      <c r="A6" s="135" t="s">
        <v>5</v>
      </c>
      <c r="B6" s="135"/>
      <c r="C6" s="81"/>
      <c r="D6" s="3"/>
      <c r="E6" s="3"/>
      <c r="F6" s="3"/>
      <c r="G6" s="3"/>
      <c r="H6" s="3"/>
      <c r="I6" s="3"/>
      <c r="J6" s="3"/>
      <c r="K6" s="3"/>
      <c r="L6" s="3"/>
      <c r="M6" s="3"/>
      <c r="N6" s="3"/>
      <c r="O6" s="3"/>
      <c r="P6" s="3"/>
      <c r="Q6" s="3"/>
      <c r="R6" s="3"/>
      <c r="S6" s="3"/>
      <c r="T6" s="3"/>
      <c r="U6" s="74"/>
    </row>
    <row r="7" spans="1:21" x14ac:dyDescent="0.3">
      <c r="A7" s="7">
        <v>1</v>
      </c>
      <c r="B7" s="37" t="s">
        <v>59</v>
      </c>
      <c r="C7" s="37" t="s">
        <v>58</v>
      </c>
      <c r="D7" s="103">
        <v>4.4260000000000002</v>
      </c>
      <c r="E7" s="102">
        <v>4.29</v>
      </c>
      <c r="F7" s="102">
        <v>4.2039999999999997</v>
      </c>
      <c r="G7" s="102">
        <v>3.9837009999999999</v>
      </c>
      <c r="H7" s="102">
        <v>3.9536658</v>
      </c>
      <c r="I7" s="102">
        <v>3.9236306000000001</v>
      </c>
      <c r="J7" s="102">
        <v>3.8935954000000002</v>
      </c>
      <c r="K7" s="102">
        <v>3.8635602000000002</v>
      </c>
      <c r="L7" s="102">
        <v>3.8335249999999998</v>
      </c>
      <c r="M7" s="102">
        <v>3.8179037999999998</v>
      </c>
      <c r="N7" s="102">
        <v>3.8022825999999998</v>
      </c>
      <c r="O7" s="102">
        <v>3.7866613999999998</v>
      </c>
      <c r="P7" s="102">
        <v>3.7710401999999998</v>
      </c>
      <c r="Q7" s="102">
        <v>3.7554189999999998</v>
      </c>
      <c r="R7" s="102">
        <v>3.6479110000000001</v>
      </c>
      <c r="S7" s="102">
        <v>3.5315859999999999</v>
      </c>
      <c r="T7" s="5"/>
      <c r="U7" s="2"/>
    </row>
    <row r="8" spans="1:21" x14ac:dyDescent="0.3">
      <c r="A8" s="7">
        <v>2</v>
      </c>
      <c r="B8" s="37" t="s">
        <v>205</v>
      </c>
      <c r="C8" s="37" t="s">
        <v>96</v>
      </c>
      <c r="D8" s="108">
        <v>44956</v>
      </c>
      <c r="E8" s="109">
        <v>46984</v>
      </c>
      <c r="F8" s="109">
        <v>44595</v>
      </c>
      <c r="G8" s="109">
        <v>51890</v>
      </c>
      <c r="H8" s="109">
        <v>53121.9</v>
      </c>
      <c r="I8" s="109">
        <v>54353.8</v>
      </c>
      <c r="J8" s="109">
        <v>55585.700000000004</v>
      </c>
      <c r="K8" s="109">
        <v>56817.600000000006</v>
      </c>
      <c r="L8" s="109">
        <f>(G8+Q8)/2</f>
        <v>58049.5</v>
      </c>
      <c r="M8" s="109">
        <v>59281.4</v>
      </c>
      <c r="N8" s="109">
        <v>60513.3</v>
      </c>
      <c r="O8" s="109">
        <v>61745.200000000004</v>
      </c>
      <c r="P8" s="109">
        <v>62977.100000000006</v>
      </c>
      <c r="Q8" s="109">
        <v>64209</v>
      </c>
      <c r="R8" s="109">
        <f>(Q8+S8)/2</f>
        <v>70392</v>
      </c>
      <c r="S8" s="109">
        <v>76575</v>
      </c>
      <c r="T8" s="5"/>
      <c r="U8" s="2"/>
    </row>
    <row r="9" spans="1:21" x14ac:dyDescent="0.3">
      <c r="A9" s="7">
        <v>3</v>
      </c>
      <c r="B9" s="37" t="s">
        <v>11</v>
      </c>
      <c r="C9" s="37" t="s">
        <v>96</v>
      </c>
      <c r="D9" s="110">
        <f>0.8378*D8</f>
        <v>37664.1368</v>
      </c>
      <c r="E9" s="5">
        <f>0.8491*E8</f>
        <v>39894.114399999999</v>
      </c>
      <c r="F9" s="5">
        <f>0.8301*F8</f>
        <v>37018.309499999996</v>
      </c>
      <c r="G9" s="5">
        <f>0.84*G8</f>
        <v>43587.6</v>
      </c>
      <c r="H9" s="5">
        <v>44622.396000000001</v>
      </c>
      <c r="I9" s="5">
        <v>45657.192000000003</v>
      </c>
      <c r="J9" s="5">
        <v>46691.988000000005</v>
      </c>
      <c r="K9" s="5">
        <v>47726.784000000007</v>
      </c>
      <c r="L9" s="109">
        <f>(G9+Q9)/2</f>
        <v>48761.58</v>
      </c>
      <c r="M9" s="5">
        <v>49796.376000000004</v>
      </c>
      <c r="N9" s="5">
        <v>50831.172000000006</v>
      </c>
      <c r="O9" s="5">
        <v>51865.968000000008</v>
      </c>
      <c r="P9" s="5">
        <v>52900.76400000001</v>
      </c>
      <c r="Q9" s="5">
        <f>0.84*Q8</f>
        <v>53935.56</v>
      </c>
      <c r="R9" s="5">
        <f t="shared" ref="R9:S9" si="0">0.84*R8</f>
        <v>59129.279999999999</v>
      </c>
      <c r="S9" s="5">
        <f t="shared" si="0"/>
        <v>64323</v>
      </c>
      <c r="T9" s="5"/>
      <c r="U9" s="2"/>
    </row>
    <row r="10" spans="1:21" x14ac:dyDescent="0.3">
      <c r="A10" s="2"/>
      <c r="B10" s="68" t="s">
        <v>0</v>
      </c>
      <c r="C10" s="38" t="s">
        <v>96</v>
      </c>
      <c r="D10" s="110">
        <f>0.0467*D9</f>
        <v>1758.9151885599999</v>
      </c>
      <c r="E10" s="104">
        <f>0.04366*E9</f>
        <v>1741.7770347039998</v>
      </c>
      <c r="F10" s="104">
        <f>0.03633*F9</f>
        <v>1344.8751841349999</v>
      </c>
      <c r="G10" s="104">
        <f>0.034*G9</f>
        <v>1481.9784</v>
      </c>
      <c r="H10" s="104">
        <v>1484.8001279999999</v>
      </c>
      <c r="I10" s="104">
        <v>1487.6218559999998</v>
      </c>
      <c r="J10" s="104">
        <v>1490.4435839999996</v>
      </c>
      <c r="K10" s="104">
        <v>1493.2653119999995</v>
      </c>
      <c r="L10" s="109">
        <f t="shared" ref="L10:L14" si="1">(G10+Q10)/2</f>
        <v>1496.0870399999999</v>
      </c>
      <c r="M10" s="104">
        <v>1498.908768</v>
      </c>
      <c r="N10" s="104">
        <v>1501.7304960000001</v>
      </c>
      <c r="O10" s="104">
        <v>1504.5522240000003</v>
      </c>
      <c r="P10" s="104">
        <v>1507.3739520000004</v>
      </c>
      <c r="Q10" s="104">
        <f>0.028*Q9</f>
        <v>1510.19568</v>
      </c>
      <c r="R10" s="104">
        <f>(Q10+S10)/2</f>
        <v>1526.9738400000001</v>
      </c>
      <c r="S10" s="104">
        <f>0.024*S9</f>
        <v>1543.752</v>
      </c>
      <c r="T10" s="5"/>
      <c r="U10" s="2"/>
    </row>
    <row r="11" spans="1:21" x14ac:dyDescent="0.3">
      <c r="A11" s="2"/>
      <c r="B11" s="68" t="s">
        <v>1</v>
      </c>
      <c r="C11" s="38" t="s">
        <v>96</v>
      </c>
      <c r="D11" s="5">
        <f>0.078*D9</f>
        <v>2937.8026703999999</v>
      </c>
      <c r="E11" s="104">
        <f>0.06754*E9</f>
        <v>2694.4484865760001</v>
      </c>
      <c r="F11" s="104">
        <f>0.05358*F9</f>
        <v>1983.44102301</v>
      </c>
      <c r="G11" s="104">
        <f>0.053*G9</f>
        <v>2310.1428000000001</v>
      </c>
      <c r="H11" s="104">
        <v>2364.9869880000001</v>
      </c>
      <c r="I11" s="104">
        <v>2419.8311760000001</v>
      </c>
      <c r="J11" s="104">
        <v>2474.6753640000002</v>
      </c>
      <c r="K11" s="104">
        <v>2529.5195520000002</v>
      </c>
      <c r="L11" s="109">
        <f t="shared" si="1"/>
        <v>2584.3637399999998</v>
      </c>
      <c r="M11" s="104">
        <v>2639.2079279999998</v>
      </c>
      <c r="N11" s="104">
        <v>2694.0521159999998</v>
      </c>
      <c r="O11" s="104">
        <v>2748.8963039999999</v>
      </c>
      <c r="P11" s="104">
        <v>2803.7404919999999</v>
      </c>
      <c r="Q11" s="104">
        <f>0.053*Q9</f>
        <v>2858.5846799999999</v>
      </c>
      <c r="R11" s="104">
        <f>(Q11+S11)/2</f>
        <v>3133.8518399999998</v>
      </c>
      <c r="S11" s="104">
        <f>0.053*S9</f>
        <v>3409.1189999999997</v>
      </c>
      <c r="T11" s="5"/>
      <c r="U11" s="2"/>
    </row>
    <row r="12" spans="1:21" x14ac:dyDescent="0.3">
      <c r="A12" s="2"/>
      <c r="B12" s="68" t="s">
        <v>2</v>
      </c>
      <c r="C12" s="38" t="s">
        <v>96</v>
      </c>
      <c r="D12" s="5">
        <f>0.6739*D9</f>
        <v>25381.86178952</v>
      </c>
      <c r="E12" s="104">
        <f>0.69766*E9</f>
        <v>27832.527852303996</v>
      </c>
      <c r="F12" s="104">
        <f>0.71014*F9</f>
        <v>26288.182308329997</v>
      </c>
      <c r="G12" s="104">
        <f>(0.046+0.058+0.598)*G9</f>
        <v>30598.495199999998</v>
      </c>
      <c r="H12" s="104">
        <v>31389.644663999999</v>
      </c>
      <c r="I12" s="104">
        <v>32180.794128000001</v>
      </c>
      <c r="J12" s="104">
        <v>32971.943592000003</v>
      </c>
      <c r="K12" s="104">
        <v>33763.093056000005</v>
      </c>
      <c r="L12" s="109">
        <f t="shared" si="1"/>
        <v>34554.24252</v>
      </c>
      <c r="M12" s="104">
        <v>35345.391984000002</v>
      </c>
      <c r="N12" s="104">
        <v>36136.541448000004</v>
      </c>
      <c r="O12" s="104">
        <v>36927.690912000005</v>
      </c>
      <c r="P12" s="104">
        <v>37718.840376000007</v>
      </c>
      <c r="Q12" s="104">
        <f>(0.048+0.058+0.608)*Q9</f>
        <v>38509.989839999995</v>
      </c>
      <c r="R12" s="104">
        <f>(Q12+S12)/2</f>
        <v>42507.759419999995</v>
      </c>
      <c r="S12" s="104">
        <f>(0.049+0.059+0.615)*S9</f>
        <v>46505.528999999995</v>
      </c>
      <c r="T12" s="5"/>
      <c r="U12" s="2"/>
    </row>
    <row r="13" spans="1:21" x14ac:dyDescent="0.3">
      <c r="A13" s="2"/>
      <c r="B13" s="68" t="s">
        <v>3</v>
      </c>
      <c r="C13" s="38" t="s">
        <v>96</v>
      </c>
      <c r="D13" s="5">
        <f>0.0439*D9</f>
        <v>1653.4556055200001</v>
      </c>
      <c r="E13" s="104">
        <f>0.04977*E9</f>
        <v>1985.5300736879999</v>
      </c>
      <c r="F13" s="104">
        <f>0.04931*F9</f>
        <v>1825.3728414449997</v>
      </c>
      <c r="G13" s="104">
        <f>(0.211-0.153)*G9</f>
        <v>2528.0807999999997</v>
      </c>
      <c r="H13" s="104">
        <v>2544.9505199999999</v>
      </c>
      <c r="I13" s="104">
        <v>2561.82024</v>
      </c>
      <c r="J13" s="104">
        <v>2578.6899600000002</v>
      </c>
      <c r="K13" s="104">
        <v>2595.5596800000003</v>
      </c>
      <c r="L13" s="109">
        <f t="shared" si="1"/>
        <v>2612.4293999999995</v>
      </c>
      <c r="M13" s="104">
        <v>2629.2991199999997</v>
      </c>
      <c r="N13" s="104">
        <v>2646.1688399999998</v>
      </c>
      <c r="O13" s="104">
        <v>2663.03856</v>
      </c>
      <c r="P13" s="104">
        <v>2679.9082800000001</v>
      </c>
      <c r="Q13" s="104">
        <f>(0.205-0.155)*Q9</f>
        <v>2696.7779999999993</v>
      </c>
      <c r="R13" s="104">
        <f>(Q13+S13)/2</f>
        <v>2731.3334999999997</v>
      </c>
      <c r="S13" s="104">
        <f>(0.2-0.157)*S9</f>
        <v>2765.8890000000006</v>
      </c>
      <c r="T13" s="5"/>
      <c r="U13" s="2"/>
    </row>
    <row r="14" spans="1:21" x14ac:dyDescent="0.3">
      <c r="A14" s="2"/>
      <c r="B14" s="69" t="s">
        <v>4</v>
      </c>
      <c r="C14" s="37" t="s">
        <v>96</v>
      </c>
      <c r="D14" s="5">
        <f>0.1576*D9</f>
        <v>5935.8679596799993</v>
      </c>
      <c r="E14" s="104">
        <f>0.14136*E9</f>
        <v>5639.4320115840001</v>
      </c>
      <c r="F14" s="104">
        <f>0.15064*F9</f>
        <v>5576.4381430799995</v>
      </c>
      <c r="G14" s="104">
        <f>0.153*G9</f>
        <v>6668.9027999999998</v>
      </c>
      <c r="H14" s="104">
        <v>6838.0136999999995</v>
      </c>
      <c r="I14" s="104">
        <v>7007.1245999999992</v>
      </c>
      <c r="J14" s="104">
        <v>7176.2354999999989</v>
      </c>
      <c r="K14" s="104">
        <v>7345.3463999999985</v>
      </c>
      <c r="L14" s="109">
        <f t="shared" si="1"/>
        <v>7514.4573</v>
      </c>
      <c r="M14" s="104">
        <v>7683.5681999999997</v>
      </c>
      <c r="N14" s="104">
        <v>7852.6790999999994</v>
      </c>
      <c r="O14" s="104">
        <v>8021.7899999999991</v>
      </c>
      <c r="P14" s="104">
        <v>8190.9008999999987</v>
      </c>
      <c r="Q14" s="104">
        <f>0.155*Q9</f>
        <v>8360.0118000000002</v>
      </c>
      <c r="R14" s="104">
        <f t="shared" ref="R14" si="2">(Q14+S14)/2</f>
        <v>9229.3613999999998</v>
      </c>
      <c r="S14" s="104">
        <f>0.157*S9</f>
        <v>10098.710999999999</v>
      </c>
      <c r="T14" s="5"/>
      <c r="U14" s="2"/>
    </row>
    <row r="15" spans="1:21" x14ac:dyDescent="0.3">
      <c r="A15" s="7">
        <v>4</v>
      </c>
      <c r="B15" s="37" t="s">
        <v>94</v>
      </c>
      <c r="C15" s="37" t="s">
        <v>58</v>
      </c>
      <c r="D15" s="103">
        <v>1.494041</v>
      </c>
      <c r="E15" s="102">
        <v>1.514872</v>
      </c>
      <c r="F15" s="102">
        <v>1.474704</v>
      </c>
      <c r="G15" s="102">
        <v>1.472051</v>
      </c>
      <c r="H15" s="102">
        <v>1.473835</v>
      </c>
      <c r="I15" s="102">
        <v>1.475619</v>
      </c>
      <c r="J15" s="102">
        <v>1.477403</v>
      </c>
      <c r="K15" s="102">
        <v>1.479187</v>
      </c>
      <c r="L15" s="102">
        <v>1.480971</v>
      </c>
      <c r="M15" s="102">
        <v>1.4887588</v>
      </c>
      <c r="N15" s="102">
        <v>1.4965466000000001</v>
      </c>
      <c r="O15" s="102">
        <v>1.5043344000000001</v>
      </c>
      <c r="P15" s="102">
        <v>1.5121222000000001</v>
      </c>
      <c r="Q15" s="102">
        <v>1.5199100000000001</v>
      </c>
      <c r="R15" s="102">
        <v>1.550249</v>
      </c>
      <c r="S15" s="102">
        <v>1.579839</v>
      </c>
      <c r="T15" s="5" t="s">
        <v>203</v>
      </c>
      <c r="U15" s="2"/>
    </row>
    <row r="16" spans="1:21" ht="22.5" customHeight="1" x14ac:dyDescent="0.3">
      <c r="A16" s="7">
        <v>5</v>
      </c>
      <c r="B16" s="37" t="s">
        <v>95</v>
      </c>
      <c r="C16" s="37" t="s">
        <v>152</v>
      </c>
      <c r="D16" s="105">
        <f>D7/D15</f>
        <v>2.9624354351721274</v>
      </c>
      <c r="E16" s="105">
        <f t="shared" ref="E16:S16" si="3">E7/E15</f>
        <v>2.8319224330504493</v>
      </c>
      <c r="F16" s="105">
        <f t="shared" si="3"/>
        <v>2.8507415725460836</v>
      </c>
      <c r="G16" s="105">
        <f t="shared" si="3"/>
        <v>2.7062248522639503</v>
      </c>
      <c r="H16" s="105">
        <f t="shared" si="3"/>
        <v>2.6825701655884138</v>
      </c>
      <c r="I16" s="105">
        <f t="shared" si="3"/>
        <v>2.6589726751959688</v>
      </c>
      <c r="J16" s="105">
        <f t="shared" si="3"/>
        <v>2.6354321738889119</v>
      </c>
      <c r="K16" s="105">
        <f t="shared" si="3"/>
        <v>2.6119484554691192</v>
      </c>
      <c r="L16" s="105">
        <f t="shared" si="3"/>
        <v>2.5885213147320236</v>
      </c>
      <c r="M16" s="105">
        <f t="shared" si="3"/>
        <v>2.5644878136068781</v>
      </c>
      <c r="N16" s="105">
        <f t="shared" si="3"/>
        <v>2.5407044458221346</v>
      </c>
      <c r="O16" s="105">
        <f t="shared" si="3"/>
        <v>2.5171673266263137</v>
      </c>
      <c r="P16" s="105">
        <f t="shared" si="3"/>
        <v>2.4938726512976266</v>
      </c>
      <c r="Q16" s="105">
        <f t="shared" si="3"/>
        <v>2.4708166930936697</v>
      </c>
      <c r="R16" s="105">
        <f t="shared" si="3"/>
        <v>2.3531129515323022</v>
      </c>
      <c r="S16" s="105">
        <f t="shared" si="3"/>
        <v>2.2354087979851109</v>
      </c>
      <c r="T16" s="5"/>
      <c r="U16" s="2"/>
    </row>
    <row r="17" spans="1:21" x14ac:dyDescent="0.3">
      <c r="A17" s="7">
        <v>6</v>
      </c>
      <c r="B17" s="38" t="s">
        <v>170</v>
      </c>
      <c r="C17" s="38" t="s">
        <v>153</v>
      </c>
      <c r="D17" s="110"/>
      <c r="E17" s="5"/>
      <c r="F17" s="5"/>
      <c r="G17" s="5"/>
      <c r="H17" s="5"/>
      <c r="I17" s="5"/>
      <c r="J17" s="5"/>
      <c r="K17" s="5"/>
      <c r="L17" s="5"/>
      <c r="M17" s="5"/>
      <c r="N17" s="5"/>
      <c r="O17" s="5"/>
      <c r="P17" s="5"/>
      <c r="Q17" s="5"/>
      <c r="R17" s="5"/>
      <c r="S17" s="5"/>
      <c r="T17" s="5" t="s">
        <v>212</v>
      </c>
      <c r="U17" s="83" t="s">
        <v>171</v>
      </c>
    </row>
    <row r="18" spans="1:21" x14ac:dyDescent="0.3">
      <c r="A18" s="7">
        <v>7</v>
      </c>
      <c r="B18" s="37" t="s">
        <v>12</v>
      </c>
      <c r="C18" s="37" t="s">
        <v>97</v>
      </c>
      <c r="D18" s="5">
        <v>42194.436918288055</v>
      </c>
      <c r="E18" s="5">
        <v>47141.503665982571</v>
      </c>
      <c r="F18" s="5">
        <v>49012.348259338556</v>
      </c>
      <c r="G18" s="5">
        <v>50408.928005165857</v>
      </c>
      <c r="H18" s="5">
        <v>50738.475078885283</v>
      </c>
      <c r="I18" s="5">
        <v>51068.02215260471</v>
      </c>
      <c r="J18" s="5">
        <v>51397.569226324136</v>
      </c>
      <c r="K18" s="5">
        <v>51727.116300043563</v>
      </c>
      <c r="L18" s="5">
        <v>52056.663373762996</v>
      </c>
      <c r="M18" s="5">
        <v>52536.502889688141</v>
      </c>
      <c r="N18" s="5">
        <v>53016.342405613286</v>
      </c>
      <c r="O18" s="5">
        <v>53496.181921538431</v>
      </c>
      <c r="P18" s="5">
        <v>53976.021437463576</v>
      </c>
      <c r="Q18" s="5">
        <v>54455.860953388736</v>
      </c>
      <c r="R18" s="5">
        <v>56564.21866003859</v>
      </c>
      <c r="S18" s="5">
        <v>58570.108926570661</v>
      </c>
      <c r="T18" s="5"/>
      <c r="U18" s="2"/>
    </row>
    <row r="19" spans="1:21" x14ac:dyDescent="0.3">
      <c r="A19" s="2"/>
      <c r="B19" s="60" t="s">
        <v>60</v>
      </c>
      <c r="C19" s="39" t="s">
        <v>97</v>
      </c>
      <c r="D19" s="111">
        <v>7002.9581099392581</v>
      </c>
      <c r="E19" s="111">
        <v>7250.409426264765</v>
      </c>
      <c r="F19" s="111">
        <v>7791.2820066479208</v>
      </c>
      <c r="G19" s="111">
        <v>7691.1772867991995</v>
      </c>
      <c r="H19" s="111">
        <v>7776.3556070041013</v>
      </c>
      <c r="I19" s="111">
        <v>7861.5339272090032</v>
      </c>
      <c r="J19" s="111">
        <v>7946.7122474139051</v>
      </c>
      <c r="K19" s="111">
        <v>8031.8905676188069</v>
      </c>
      <c r="L19" s="111">
        <v>8117.0688878237097</v>
      </c>
      <c r="M19" s="111">
        <v>8159.9136046300082</v>
      </c>
      <c r="N19" s="111">
        <v>8202.7583214363058</v>
      </c>
      <c r="O19" s="111">
        <v>8245.6030382426034</v>
      </c>
      <c r="P19" s="111">
        <v>8288.4477550489009</v>
      </c>
      <c r="Q19" s="111">
        <v>8331.2924718552003</v>
      </c>
      <c r="R19" s="111">
        <v>8318.8613537252677</v>
      </c>
      <c r="S19" s="111">
        <v>8949.8452281092996</v>
      </c>
      <c r="T19" s="5"/>
      <c r="U19" s="2"/>
    </row>
    <row r="20" spans="1:21" x14ac:dyDescent="0.3">
      <c r="A20" s="2"/>
      <c r="B20" s="60" t="s">
        <v>53</v>
      </c>
      <c r="C20" s="39" t="s">
        <v>97</v>
      </c>
      <c r="D20" s="111">
        <v>32177.484483174809</v>
      </c>
      <c r="E20" s="111">
        <v>35810.162250795765</v>
      </c>
      <c r="F20" s="111">
        <v>38115.072032210977</v>
      </c>
      <c r="G20" s="111">
        <v>38822.608940563085</v>
      </c>
      <c r="H20" s="111">
        <v>38989.513238963249</v>
      </c>
      <c r="I20" s="111">
        <v>39156.417537363413</v>
      </c>
      <c r="J20" s="111">
        <v>39323.321835763578</v>
      </c>
      <c r="K20" s="111">
        <v>39490.226134163742</v>
      </c>
      <c r="L20" s="111">
        <v>39657.130432563907</v>
      </c>
      <c r="M20" s="111">
        <v>39989.743559582224</v>
      </c>
      <c r="N20" s="111">
        <v>40322.356686600542</v>
      </c>
      <c r="O20" s="111">
        <v>40654.96981361886</v>
      </c>
      <c r="P20" s="111">
        <v>40987.582940637178</v>
      </c>
      <c r="Q20" s="111">
        <v>41320.196067655495</v>
      </c>
      <c r="R20" s="111">
        <v>42819.62448874602</v>
      </c>
      <c r="S20" s="111">
        <v>43258.466999684832</v>
      </c>
      <c r="T20" s="5"/>
      <c r="U20" s="2"/>
    </row>
    <row r="21" spans="1:21" x14ac:dyDescent="0.3">
      <c r="A21" s="2"/>
      <c r="B21" s="60" t="s">
        <v>61</v>
      </c>
      <c r="C21" s="39" t="s">
        <v>97</v>
      </c>
      <c r="D21" s="111">
        <v>203.04106670938975</v>
      </c>
      <c r="E21" s="111">
        <v>278.6400562454736</v>
      </c>
      <c r="F21" s="111">
        <v>219.8267851743349</v>
      </c>
      <c r="G21" s="111">
        <v>231.22308942481482</v>
      </c>
      <c r="H21" s="111">
        <v>232.45331900928949</v>
      </c>
      <c r="I21" s="111">
        <v>233.68354859376416</v>
      </c>
      <c r="J21" s="111">
        <v>234.91377817823883</v>
      </c>
      <c r="K21" s="111">
        <v>236.1440077627135</v>
      </c>
      <c r="L21" s="111">
        <v>237.37423734718811</v>
      </c>
      <c r="M21" s="111">
        <v>238.45363266208119</v>
      </c>
      <c r="N21" s="111">
        <v>239.53302797697427</v>
      </c>
      <c r="O21" s="111">
        <v>240.61242329186734</v>
      </c>
      <c r="P21" s="111">
        <v>241.69181860676042</v>
      </c>
      <c r="Q21" s="111">
        <v>242.77121392165355</v>
      </c>
      <c r="R21" s="111">
        <v>269.51588074150601</v>
      </c>
      <c r="S21" s="111">
        <v>328.63309389234576</v>
      </c>
      <c r="T21" s="5"/>
      <c r="U21" s="2"/>
    </row>
    <row r="22" spans="1:21" x14ac:dyDescent="0.3">
      <c r="A22" s="2"/>
      <c r="B22" s="60" t="s">
        <v>62</v>
      </c>
      <c r="C22" s="39" t="s">
        <v>97</v>
      </c>
      <c r="D22" s="111">
        <v>2279.1888941694388</v>
      </c>
      <c r="E22" s="111">
        <v>3154.9017055886188</v>
      </c>
      <c r="F22" s="111">
        <v>2106.8155589525522</v>
      </c>
      <c r="G22" s="111">
        <v>2832.2218261369835</v>
      </c>
      <c r="H22" s="111">
        <v>2895.1713097521865</v>
      </c>
      <c r="I22" s="111">
        <v>2958.1207933673895</v>
      </c>
      <c r="J22" s="111">
        <v>3021.0702769825925</v>
      </c>
      <c r="K22" s="111">
        <v>3084.0197605977955</v>
      </c>
      <c r="L22" s="111">
        <v>3146.9692442129976</v>
      </c>
      <c r="M22" s="111">
        <v>3233.1911485951455</v>
      </c>
      <c r="N22" s="111">
        <v>3319.4130529772933</v>
      </c>
      <c r="O22" s="111">
        <v>3405.6349573594412</v>
      </c>
      <c r="P22" s="111">
        <v>3491.856861741589</v>
      </c>
      <c r="Q22" s="111">
        <v>3578.0787661237378</v>
      </c>
      <c r="R22" s="111">
        <v>4087.5725928849765</v>
      </c>
      <c r="S22" s="111">
        <v>4875.6028068459891</v>
      </c>
      <c r="T22" s="5"/>
      <c r="U22" s="2"/>
    </row>
    <row r="23" spans="1:21" x14ac:dyDescent="0.3">
      <c r="A23" s="2"/>
      <c r="B23" s="60" t="s">
        <v>54</v>
      </c>
      <c r="C23" s="39" t="s">
        <v>97</v>
      </c>
      <c r="D23" s="111">
        <v>146.96509408543997</v>
      </c>
      <c r="E23" s="111">
        <v>155.12787113945768</v>
      </c>
      <c r="F23" s="111">
        <v>164.00469983398793</v>
      </c>
      <c r="G23" s="111">
        <v>176.81769045012831</v>
      </c>
      <c r="H23" s="111">
        <v>180.17265935920381</v>
      </c>
      <c r="I23" s="111">
        <v>183.5276282682793</v>
      </c>
      <c r="J23" s="111">
        <v>186.8825971773548</v>
      </c>
      <c r="K23" s="111">
        <v>190.23756608643029</v>
      </c>
      <c r="L23" s="111">
        <v>193.59253499550582</v>
      </c>
      <c r="M23" s="111">
        <v>197.86064963591105</v>
      </c>
      <c r="N23" s="111">
        <v>202.12876427631628</v>
      </c>
      <c r="O23" s="111">
        <v>206.3968789167215</v>
      </c>
      <c r="P23" s="111">
        <v>210.66499355712673</v>
      </c>
      <c r="Q23" s="111">
        <v>214.93310819753194</v>
      </c>
      <c r="R23" s="111">
        <v>236.73165201445735</v>
      </c>
      <c r="S23" s="111">
        <v>259.7690842281894</v>
      </c>
      <c r="T23" s="5"/>
      <c r="U23" s="2"/>
    </row>
    <row r="24" spans="1:21" x14ac:dyDescent="0.3">
      <c r="A24" s="2"/>
      <c r="B24" s="60" t="s">
        <v>63</v>
      </c>
      <c r="C24" s="39" t="s">
        <v>97</v>
      </c>
      <c r="D24" s="111">
        <v>385.1245284572575</v>
      </c>
      <c r="E24" s="111">
        <v>492.50882974332956</v>
      </c>
      <c r="F24" s="111">
        <v>616.01771620525926</v>
      </c>
      <c r="G24" s="111">
        <v>654.87917179164731</v>
      </c>
      <c r="H24" s="111">
        <v>664.80894479725748</v>
      </c>
      <c r="I24" s="111">
        <v>674.73871780286765</v>
      </c>
      <c r="J24" s="111">
        <v>684.66849080847783</v>
      </c>
      <c r="K24" s="111">
        <v>694.598263814088</v>
      </c>
      <c r="L24" s="111">
        <v>704.52803681969829</v>
      </c>
      <c r="M24" s="111">
        <v>717.34029458278235</v>
      </c>
      <c r="N24" s="111">
        <v>730.15255234586641</v>
      </c>
      <c r="O24" s="111">
        <v>742.96481010895047</v>
      </c>
      <c r="P24" s="111">
        <v>755.77706787203454</v>
      </c>
      <c r="Q24" s="111">
        <v>768.5893256351186</v>
      </c>
      <c r="R24" s="111">
        <v>831.91269192636116</v>
      </c>
      <c r="S24" s="111">
        <v>897.79171380999969</v>
      </c>
      <c r="T24" s="5"/>
      <c r="U24" s="2"/>
    </row>
    <row r="25" spans="1:21" ht="17.25" customHeight="1" x14ac:dyDescent="0.3">
      <c r="A25" s="7">
        <v>8</v>
      </c>
      <c r="B25" s="40" t="s">
        <v>13</v>
      </c>
      <c r="C25" s="40" t="s">
        <v>98</v>
      </c>
      <c r="D25" s="111">
        <v>13039.716743813362</v>
      </c>
      <c r="E25" s="111">
        <v>13274.430170659742</v>
      </c>
      <c r="F25" s="111">
        <v>14424.749309721052</v>
      </c>
      <c r="G25" s="111">
        <v>16050.786397190326</v>
      </c>
      <c r="H25" s="111">
        <v>16457.295669057647</v>
      </c>
      <c r="I25" s="111">
        <v>16863.804940924965</v>
      </c>
      <c r="J25" s="111">
        <v>17270.314212792284</v>
      </c>
      <c r="K25" s="111">
        <v>17676.823484659602</v>
      </c>
      <c r="L25" s="111">
        <v>18083.332756526925</v>
      </c>
      <c r="M25" s="111">
        <v>18489.842028394243</v>
      </c>
      <c r="N25" s="111">
        <v>18896.351300261562</v>
      </c>
      <c r="O25" s="111">
        <v>19302.86057212888</v>
      </c>
      <c r="P25" s="111">
        <v>19709.369843996199</v>
      </c>
      <c r="Q25" s="111">
        <v>20115.879115863525</v>
      </c>
      <c r="R25" s="111">
        <v>22148.425475200118</v>
      </c>
      <c r="S25" s="111">
        <v>24180.971834536718</v>
      </c>
      <c r="T25" s="5"/>
      <c r="U25" s="2"/>
    </row>
    <row r="26" spans="1:21" x14ac:dyDescent="0.3">
      <c r="A26" s="2"/>
      <c r="B26" s="60" t="s">
        <v>55</v>
      </c>
      <c r="C26" s="39" t="s">
        <v>98</v>
      </c>
      <c r="D26" s="111">
        <v>8376.3537438133626</v>
      </c>
      <c r="E26" s="111">
        <v>8714.8371706597409</v>
      </c>
      <c r="F26" s="111">
        <v>10347.807807592189</v>
      </c>
      <c r="G26" s="111">
        <v>11504.576696220611</v>
      </c>
      <c r="H26" s="111">
        <v>11769.332527770688</v>
      </c>
      <c r="I26" s="111">
        <v>12034.088359320765</v>
      </c>
      <c r="J26" s="111">
        <v>12298.844190870843</v>
      </c>
      <c r="K26" s="111">
        <v>12563.60002242092</v>
      </c>
      <c r="L26" s="111">
        <v>12828.355853970999</v>
      </c>
      <c r="M26" s="111">
        <v>13034.35619746354</v>
      </c>
      <c r="N26" s="111">
        <v>13240.35654095608</v>
      </c>
      <c r="O26" s="111">
        <v>13446.35688444862</v>
      </c>
      <c r="P26" s="111">
        <v>13652.35722794116</v>
      </c>
      <c r="Q26" s="111">
        <v>13858.357571433702</v>
      </c>
      <c r="R26" s="111">
        <v>15038.713951767058</v>
      </c>
      <c r="S26" s="111">
        <v>15929.267585350764</v>
      </c>
      <c r="T26" s="5"/>
      <c r="U26" s="2"/>
    </row>
    <row r="27" spans="1:21" x14ac:dyDescent="0.3">
      <c r="A27" s="2"/>
      <c r="B27" s="60" t="s">
        <v>62</v>
      </c>
      <c r="C27" s="39" t="s">
        <v>98</v>
      </c>
      <c r="D27" s="111">
        <v>2835.0000000000005</v>
      </c>
      <c r="E27" s="111">
        <v>2617.9999999999995</v>
      </c>
      <c r="F27" s="111">
        <v>2160</v>
      </c>
      <c r="G27" s="111">
        <v>2330.0735359539922</v>
      </c>
      <c r="H27" s="111">
        <v>2399.7047109580044</v>
      </c>
      <c r="I27" s="111">
        <v>2469.3358859620166</v>
      </c>
      <c r="J27" s="111">
        <v>2538.9670609660288</v>
      </c>
      <c r="K27" s="111">
        <v>2608.5982359700411</v>
      </c>
      <c r="L27" s="111">
        <v>2678.2294109740537</v>
      </c>
      <c r="M27" s="111">
        <v>2793.8160938324363</v>
      </c>
      <c r="N27" s="111">
        <v>2909.4027766908189</v>
      </c>
      <c r="O27" s="111">
        <v>3024.9894595492015</v>
      </c>
      <c r="P27" s="111">
        <v>3140.576142407584</v>
      </c>
      <c r="Q27" s="111">
        <v>3256.1628252659666</v>
      </c>
      <c r="R27" s="111">
        <v>3891.9234124465374</v>
      </c>
      <c r="S27" s="111">
        <v>4789.3642980440236</v>
      </c>
      <c r="T27" s="5"/>
      <c r="U27" s="2"/>
    </row>
    <row r="28" spans="1:21" x14ac:dyDescent="0.3">
      <c r="A28" s="2"/>
      <c r="B28" s="60" t="s">
        <v>63</v>
      </c>
      <c r="C28" s="39" t="s">
        <v>98</v>
      </c>
      <c r="D28" s="111">
        <v>39.250999999999998</v>
      </c>
      <c r="E28" s="111">
        <v>29.000000000000004</v>
      </c>
      <c r="F28" s="111">
        <v>212.00000000000003</v>
      </c>
      <c r="G28" s="111">
        <v>236.46504521434846</v>
      </c>
      <c r="H28" s="111">
        <v>242.61406263195349</v>
      </c>
      <c r="I28" s="111">
        <v>248.76308004955851</v>
      </c>
      <c r="J28" s="111">
        <v>254.91209746716353</v>
      </c>
      <c r="K28" s="111">
        <v>261.06111488476853</v>
      </c>
      <c r="L28" s="111">
        <v>267.21013230237355</v>
      </c>
      <c r="M28" s="111">
        <v>273.39569806522786</v>
      </c>
      <c r="N28" s="111">
        <v>279.58126382808217</v>
      </c>
      <c r="O28" s="111">
        <v>285.76682959093648</v>
      </c>
      <c r="P28" s="111">
        <v>291.95239535379079</v>
      </c>
      <c r="Q28" s="111">
        <v>298.13796111664499</v>
      </c>
      <c r="R28" s="111">
        <v>329.24935260388679</v>
      </c>
      <c r="S28" s="111">
        <v>360.54513099544641</v>
      </c>
      <c r="T28" s="5"/>
      <c r="U28" s="2"/>
    </row>
    <row r="29" spans="1:21" x14ac:dyDescent="0.3">
      <c r="A29" s="7">
        <v>9</v>
      </c>
      <c r="B29" s="40" t="s">
        <v>99</v>
      </c>
      <c r="C29" s="40" t="s">
        <v>162</v>
      </c>
      <c r="D29" s="5"/>
      <c r="E29" s="5"/>
      <c r="F29" s="5"/>
      <c r="G29" s="5"/>
      <c r="H29" s="5"/>
      <c r="I29" s="5"/>
      <c r="J29" s="5"/>
      <c r="K29" s="5"/>
      <c r="L29" s="5"/>
      <c r="M29" s="5"/>
      <c r="N29" s="5"/>
      <c r="O29" s="5"/>
      <c r="P29" s="5"/>
      <c r="Q29" s="5"/>
      <c r="R29" s="5"/>
      <c r="S29" s="5"/>
      <c r="T29" s="5"/>
      <c r="U29" s="83" t="s">
        <v>177</v>
      </c>
    </row>
    <row r="30" spans="1:21" x14ac:dyDescent="0.3">
      <c r="A30" s="2"/>
      <c r="B30" s="65" t="s">
        <v>64</v>
      </c>
      <c r="C30" s="41" t="s">
        <v>162</v>
      </c>
      <c r="D30" s="110"/>
      <c r="E30" s="5"/>
      <c r="F30" s="5"/>
      <c r="G30" s="5"/>
      <c r="H30" s="5"/>
      <c r="I30" s="5"/>
      <c r="J30" s="5"/>
      <c r="K30" s="5"/>
      <c r="L30" s="5"/>
      <c r="M30" s="5"/>
      <c r="N30" s="5"/>
      <c r="O30" s="5"/>
      <c r="P30" s="5"/>
      <c r="Q30" s="5"/>
      <c r="R30" s="5"/>
      <c r="S30" s="5"/>
      <c r="T30" s="5" t="s">
        <v>213</v>
      </c>
      <c r="U30" s="83" t="s">
        <v>177</v>
      </c>
    </row>
    <row r="31" spans="1:21" x14ac:dyDescent="0.3">
      <c r="A31" s="2"/>
      <c r="B31" s="65" t="s">
        <v>65</v>
      </c>
      <c r="C31" s="41" t="s">
        <v>162</v>
      </c>
      <c r="D31" s="110"/>
      <c r="E31" s="5"/>
      <c r="F31" s="5"/>
      <c r="G31" s="5"/>
      <c r="H31" s="5"/>
      <c r="I31" s="5"/>
      <c r="J31" s="5"/>
      <c r="K31" s="5"/>
      <c r="L31" s="5"/>
      <c r="M31" s="5"/>
      <c r="N31" s="5"/>
      <c r="O31" s="5"/>
      <c r="P31" s="5"/>
      <c r="Q31" s="5"/>
      <c r="R31" s="5"/>
      <c r="S31" s="5"/>
      <c r="T31" s="5" t="s">
        <v>213</v>
      </c>
      <c r="U31" s="83" t="s">
        <v>177</v>
      </c>
    </row>
    <row r="32" spans="1:21" x14ac:dyDescent="0.3">
      <c r="A32" s="2"/>
      <c r="B32" s="65" t="s">
        <v>66</v>
      </c>
      <c r="C32" s="41" t="s">
        <v>162</v>
      </c>
      <c r="D32" s="110"/>
      <c r="E32" s="5"/>
      <c r="F32" s="5"/>
      <c r="G32" s="5"/>
      <c r="H32" s="5"/>
      <c r="I32" s="5"/>
      <c r="J32" s="5"/>
      <c r="K32" s="5"/>
      <c r="L32" s="5"/>
      <c r="M32" s="5"/>
      <c r="N32" s="5"/>
      <c r="O32" s="5"/>
      <c r="P32" s="5"/>
      <c r="Q32" s="5"/>
      <c r="R32" s="5"/>
      <c r="S32" s="5"/>
      <c r="T32" s="5" t="s">
        <v>213</v>
      </c>
      <c r="U32" s="83" t="s">
        <v>177</v>
      </c>
    </row>
    <row r="33" spans="1:21" x14ac:dyDescent="0.3">
      <c r="A33" s="7">
        <v>10</v>
      </c>
      <c r="B33" s="40" t="s">
        <v>100</v>
      </c>
      <c r="C33" s="40" t="s">
        <v>163</v>
      </c>
      <c r="D33" s="110"/>
      <c r="E33" s="5"/>
      <c r="F33" s="113">
        <v>7.7</v>
      </c>
      <c r="G33" s="100">
        <v>25.6</v>
      </c>
      <c r="H33" s="100"/>
      <c r="I33" s="100"/>
      <c r="J33" s="100"/>
      <c r="K33" s="100"/>
      <c r="L33" s="100">
        <v>29.9</v>
      </c>
      <c r="M33" s="100"/>
      <c r="N33" s="100"/>
      <c r="O33" s="100"/>
      <c r="P33" s="100"/>
      <c r="Q33" s="100">
        <v>34.299999999999997</v>
      </c>
      <c r="R33" s="100">
        <v>43</v>
      </c>
      <c r="S33" s="100">
        <v>51.1</v>
      </c>
      <c r="T33" s="5"/>
      <c r="U33" s="83" t="s">
        <v>177</v>
      </c>
    </row>
    <row r="34" spans="1:21" x14ac:dyDescent="0.3">
      <c r="A34" s="7">
        <v>11</v>
      </c>
      <c r="B34" s="40" t="s">
        <v>101</v>
      </c>
      <c r="C34" s="40" t="s">
        <v>204</v>
      </c>
      <c r="D34" s="106">
        <v>7.4000469999999998</v>
      </c>
      <c r="E34" s="107">
        <v>7.2862299999999998</v>
      </c>
      <c r="F34" s="107">
        <v>7.6096009999999996</v>
      </c>
      <c r="G34" s="107">
        <v>7.45</v>
      </c>
      <c r="H34" s="107"/>
      <c r="I34" s="107"/>
      <c r="J34" s="107"/>
      <c r="K34" s="107"/>
      <c r="L34" s="107">
        <v>7.45</v>
      </c>
      <c r="M34" s="107"/>
      <c r="N34" s="107"/>
      <c r="O34" s="107"/>
      <c r="P34" s="107"/>
      <c r="Q34" s="107">
        <v>7.45</v>
      </c>
      <c r="R34" s="107">
        <v>7.45</v>
      </c>
      <c r="S34" s="107">
        <v>7.45</v>
      </c>
      <c r="T34" s="5"/>
      <c r="U34" s="2"/>
    </row>
    <row r="35" spans="1:21" x14ac:dyDescent="0.3">
      <c r="A35" s="7">
        <v>12</v>
      </c>
      <c r="B35" s="40" t="s">
        <v>6</v>
      </c>
      <c r="C35" s="40"/>
      <c r="D35" s="110"/>
      <c r="E35" s="5"/>
      <c r="F35" s="5"/>
      <c r="G35" s="5">
        <v>2288</v>
      </c>
      <c r="H35" s="5"/>
      <c r="I35" s="5"/>
      <c r="J35" s="5"/>
      <c r="K35" s="5"/>
      <c r="L35" s="5">
        <v>2261</v>
      </c>
      <c r="M35" s="5"/>
      <c r="N35" s="5"/>
      <c r="O35" s="5"/>
      <c r="P35" s="5"/>
      <c r="Q35" s="5">
        <v>2235</v>
      </c>
      <c r="R35" s="5">
        <v>2208</v>
      </c>
      <c r="S35" s="5">
        <v>2181</v>
      </c>
      <c r="T35" s="5" t="s">
        <v>209</v>
      </c>
      <c r="U35" s="83" t="s">
        <v>177</v>
      </c>
    </row>
    <row r="36" spans="1:21" x14ac:dyDescent="0.3">
      <c r="A36" s="7">
        <v>13</v>
      </c>
      <c r="B36" s="40" t="s">
        <v>7</v>
      </c>
      <c r="C36" s="40"/>
      <c r="D36" s="110"/>
      <c r="E36" s="5"/>
      <c r="F36" s="5"/>
      <c r="G36" s="5"/>
      <c r="H36" s="5"/>
      <c r="I36" s="5"/>
      <c r="J36" s="5"/>
      <c r="K36" s="5"/>
      <c r="L36" s="5"/>
      <c r="M36" s="5"/>
      <c r="N36" s="5"/>
      <c r="O36" s="5"/>
      <c r="P36" s="5"/>
      <c r="Q36" s="5"/>
      <c r="R36" s="5"/>
      <c r="S36" s="5"/>
      <c r="T36" s="5"/>
      <c r="U36" s="83" t="s">
        <v>177</v>
      </c>
    </row>
    <row r="37" spans="1:21" ht="40.5" customHeight="1" x14ac:dyDescent="0.3">
      <c r="A37" s="7">
        <v>14</v>
      </c>
      <c r="B37" s="19" t="s">
        <v>56</v>
      </c>
      <c r="C37" s="19"/>
      <c r="D37" s="110"/>
      <c r="E37" s="5"/>
      <c r="F37" s="5"/>
      <c r="G37" s="5"/>
      <c r="H37" s="5"/>
      <c r="I37" s="5"/>
      <c r="J37" s="5"/>
      <c r="K37" s="5"/>
      <c r="L37" s="5"/>
      <c r="M37" s="5"/>
      <c r="N37" s="5"/>
      <c r="O37" s="5"/>
      <c r="P37" s="5"/>
      <c r="Q37" s="5"/>
      <c r="R37" s="5"/>
      <c r="S37" s="5"/>
      <c r="T37" s="5"/>
      <c r="U37" s="83" t="s">
        <v>177</v>
      </c>
    </row>
    <row r="38" spans="1:21" x14ac:dyDescent="0.3">
      <c r="A38" s="2"/>
      <c r="B38" s="42"/>
      <c r="C38" s="42"/>
      <c r="D38" s="5"/>
      <c r="E38" s="5"/>
      <c r="F38" s="5"/>
      <c r="G38" s="5"/>
      <c r="H38" s="5"/>
      <c r="I38" s="5"/>
      <c r="J38" s="5"/>
      <c r="K38" s="5"/>
      <c r="L38" s="5"/>
      <c r="M38" s="5"/>
      <c r="N38" s="5"/>
      <c r="O38" s="5"/>
      <c r="P38" s="5"/>
      <c r="Q38" s="5"/>
      <c r="R38" s="5"/>
      <c r="S38" s="5"/>
      <c r="T38" s="5"/>
      <c r="U38" s="2"/>
    </row>
    <row r="39" spans="1:21" ht="15.6" x14ac:dyDescent="0.3">
      <c r="A39" s="135" t="s">
        <v>8</v>
      </c>
      <c r="B39" s="135"/>
      <c r="C39" s="32"/>
      <c r="D39" s="110"/>
      <c r="E39" s="5"/>
      <c r="F39" s="5"/>
      <c r="G39" s="5"/>
      <c r="H39" s="5"/>
      <c r="I39" s="5"/>
      <c r="J39" s="5"/>
      <c r="K39" s="5"/>
      <c r="L39" s="5"/>
      <c r="M39" s="5"/>
      <c r="N39" s="5"/>
      <c r="O39" s="5"/>
      <c r="P39" s="5"/>
      <c r="Q39" s="5"/>
      <c r="R39" s="5"/>
      <c r="S39" s="5"/>
      <c r="T39" s="5"/>
      <c r="U39" s="2"/>
    </row>
    <row r="40" spans="1:21" ht="15.6" x14ac:dyDescent="0.3">
      <c r="A40" s="144" t="s">
        <v>14</v>
      </c>
      <c r="B40" s="144"/>
      <c r="C40" s="33"/>
      <c r="D40" s="5"/>
      <c r="E40" s="5"/>
      <c r="F40" s="5"/>
      <c r="G40" s="5"/>
      <c r="H40" s="5"/>
      <c r="I40" s="5"/>
      <c r="J40" s="5"/>
      <c r="K40" s="5"/>
      <c r="L40" s="5"/>
      <c r="M40" s="5"/>
      <c r="N40" s="5"/>
      <c r="O40" s="5"/>
      <c r="P40" s="5"/>
      <c r="Q40" s="5"/>
      <c r="R40" s="5"/>
      <c r="S40" s="5"/>
      <c r="T40" s="5"/>
      <c r="U40" s="2"/>
    </row>
    <row r="41" spans="1:21" x14ac:dyDescent="0.3">
      <c r="A41" s="7">
        <v>1</v>
      </c>
      <c r="B41" s="38" t="s">
        <v>102</v>
      </c>
      <c r="C41" s="38" t="s">
        <v>103</v>
      </c>
      <c r="D41" s="114">
        <f>SUM(D42:D46)</f>
        <v>4753.3916117321105</v>
      </c>
      <c r="E41" s="111">
        <v>5148.0366867297216</v>
      </c>
      <c r="F41" s="111">
        <v>4391.2056940861758</v>
      </c>
      <c r="G41" s="115">
        <v>3568.2976546353761</v>
      </c>
      <c r="H41" s="115">
        <v>3694.8088080481502</v>
      </c>
      <c r="I41" s="115">
        <v>3821.3199614609243</v>
      </c>
      <c r="J41" s="115">
        <v>3947.8311148736984</v>
      </c>
      <c r="K41" s="115">
        <v>4074.3422682864725</v>
      </c>
      <c r="L41" s="115">
        <v>4200.8534216992466</v>
      </c>
      <c r="M41" s="115">
        <v>4327.3645751120202</v>
      </c>
      <c r="N41" s="115">
        <v>4453.8757285247939</v>
      </c>
      <c r="O41" s="115">
        <v>4580.3868819375675</v>
      </c>
      <c r="P41" s="115">
        <v>4706.8980353503412</v>
      </c>
      <c r="Q41" s="115">
        <v>4833.4091887631166</v>
      </c>
      <c r="R41" s="115">
        <v>4763.1543951149215</v>
      </c>
      <c r="S41" s="115">
        <v>4692.8996014667264</v>
      </c>
      <c r="T41" s="5"/>
      <c r="U41" s="2"/>
    </row>
    <row r="42" spans="1:21" x14ac:dyDescent="0.3">
      <c r="A42" s="2"/>
      <c r="B42" s="60" t="s">
        <v>67</v>
      </c>
      <c r="C42" s="39" t="s">
        <v>103</v>
      </c>
      <c r="D42" s="114">
        <v>4.2036877806439286</v>
      </c>
      <c r="E42" s="114">
        <v>7.6191841024171199</v>
      </c>
      <c r="F42" s="111">
        <v>9.3149899684723412</v>
      </c>
      <c r="G42" s="115">
        <v>10.353969618801948</v>
      </c>
      <c r="H42" s="115">
        <v>10.382111708225851</v>
      </c>
      <c r="I42" s="115">
        <v>10.410253797649755</v>
      </c>
      <c r="J42" s="115">
        <v>10.438395887073659</v>
      </c>
      <c r="K42" s="115">
        <v>10.466537976497563</v>
      </c>
      <c r="L42" s="115">
        <v>10.494680065921466</v>
      </c>
      <c r="M42" s="115">
        <v>10.52282215534537</v>
      </c>
      <c r="N42" s="115">
        <v>10.550964244769274</v>
      </c>
      <c r="O42" s="115">
        <v>10.579106334193177</v>
      </c>
      <c r="P42" s="115">
        <v>10.607248423617081</v>
      </c>
      <c r="Q42" s="115">
        <v>10.635390513040985</v>
      </c>
      <c r="R42" s="115">
        <v>10.322695256520493</v>
      </c>
      <c r="S42" s="115">
        <v>10.01</v>
      </c>
      <c r="T42" s="5"/>
      <c r="U42" s="2"/>
    </row>
    <row r="43" spans="1:21" x14ac:dyDescent="0.3">
      <c r="A43" s="2"/>
      <c r="B43" s="60" t="s">
        <v>64</v>
      </c>
      <c r="C43" s="39" t="s">
        <v>103</v>
      </c>
      <c r="D43" s="114">
        <v>1028.5420846469858</v>
      </c>
      <c r="E43" s="114">
        <v>758.83729817521726</v>
      </c>
      <c r="F43" s="111">
        <v>684.69953186204259</v>
      </c>
      <c r="G43" s="115">
        <v>686.07427674216524</v>
      </c>
      <c r="H43" s="115">
        <v>703.08411542005661</v>
      </c>
      <c r="I43" s="115">
        <v>720.09395409794797</v>
      </c>
      <c r="J43" s="115">
        <v>737.10379277583934</v>
      </c>
      <c r="K43" s="115">
        <v>754.1136314537307</v>
      </c>
      <c r="L43" s="115">
        <v>771.12347013162207</v>
      </c>
      <c r="M43" s="115">
        <v>788.13330880951344</v>
      </c>
      <c r="N43" s="115">
        <v>805.1431474874048</v>
      </c>
      <c r="O43" s="115">
        <v>822.15298616529617</v>
      </c>
      <c r="P43" s="115">
        <v>839.16282484318754</v>
      </c>
      <c r="Q43" s="115">
        <v>856.17266352107856</v>
      </c>
      <c r="R43" s="115">
        <v>777.64555327887547</v>
      </c>
      <c r="S43" s="115">
        <v>699.11844303667226</v>
      </c>
      <c r="T43" s="5"/>
      <c r="U43" s="2"/>
    </row>
    <row r="44" spans="1:21" x14ac:dyDescent="0.3">
      <c r="A44" s="2"/>
      <c r="B44" s="60" t="s">
        <v>25</v>
      </c>
      <c r="C44" s="39" t="s">
        <v>103</v>
      </c>
      <c r="D44" s="114">
        <v>1865.1953759434411</v>
      </c>
      <c r="E44" s="114">
        <v>2214.6985764784558</v>
      </c>
      <c r="F44" s="111">
        <v>1471.4101461736886</v>
      </c>
      <c r="G44" s="115">
        <v>741.77</v>
      </c>
      <c r="H44" s="115">
        <v>789.34302388458968</v>
      </c>
      <c r="I44" s="115">
        <v>836.91604776917939</v>
      </c>
      <c r="J44" s="115">
        <v>884.48907165376909</v>
      </c>
      <c r="K44" s="115">
        <v>932.06209553835879</v>
      </c>
      <c r="L44" s="115">
        <v>979.63511942294849</v>
      </c>
      <c r="M44" s="115">
        <v>1027.2081433075382</v>
      </c>
      <c r="N44" s="115">
        <v>1074.7811671921279</v>
      </c>
      <c r="O44" s="115">
        <v>1122.3541910767176</v>
      </c>
      <c r="P44" s="115">
        <v>1169.9272149613073</v>
      </c>
      <c r="Q44" s="115">
        <v>1217.5002388458965</v>
      </c>
      <c r="R44" s="115">
        <v>965.54511942294835</v>
      </c>
      <c r="S44" s="115">
        <v>713.59</v>
      </c>
      <c r="T44" s="5"/>
      <c r="U44" s="2"/>
    </row>
    <row r="45" spans="1:21" x14ac:dyDescent="0.3">
      <c r="A45" s="2"/>
      <c r="B45" s="60" t="s">
        <v>68</v>
      </c>
      <c r="C45" s="39" t="s">
        <v>103</v>
      </c>
      <c r="D45" s="114"/>
      <c r="E45" s="114"/>
      <c r="F45" s="111"/>
      <c r="G45" s="115"/>
      <c r="H45" s="115"/>
      <c r="I45" s="115"/>
      <c r="J45" s="115"/>
      <c r="K45" s="115"/>
      <c r="L45" s="115"/>
      <c r="M45" s="115"/>
      <c r="N45" s="115"/>
      <c r="O45" s="115"/>
      <c r="P45" s="115"/>
      <c r="Q45" s="115"/>
      <c r="R45" s="115"/>
      <c r="S45" s="115"/>
      <c r="T45" s="5"/>
      <c r="U45" s="2"/>
    </row>
    <row r="46" spans="1:21" x14ac:dyDescent="0.3">
      <c r="A46" s="2"/>
      <c r="B46" s="60" t="s">
        <v>69</v>
      </c>
      <c r="C46" s="39" t="s">
        <v>103</v>
      </c>
      <c r="D46" s="114">
        <v>1855.4504633610393</v>
      </c>
      <c r="E46" s="114">
        <v>2166.8577433839687</v>
      </c>
      <c r="F46" s="114">
        <v>2225.781026081972</v>
      </c>
      <c r="G46" s="115">
        <v>2130.0976494132256</v>
      </c>
      <c r="H46" s="115">
        <v>2191.997974060213</v>
      </c>
      <c r="I46" s="115">
        <v>2253.8982987072004</v>
      </c>
      <c r="J46" s="115">
        <v>2315.7986233541878</v>
      </c>
      <c r="K46" s="115">
        <v>2377.6989480011753</v>
      </c>
      <c r="L46" s="115">
        <v>2439.5992726481627</v>
      </c>
      <c r="M46" s="115">
        <v>2501.4995972951501</v>
      </c>
      <c r="N46" s="115">
        <v>2563.3999219421376</v>
      </c>
      <c r="O46" s="115">
        <v>2625.300246589125</v>
      </c>
      <c r="P46" s="115">
        <v>2687.2005712361124</v>
      </c>
      <c r="Q46" s="115">
        <v>2749.1008958831012</v>
      </c>
      <c r="R46" s="115">
        <v>3009.6404479415505</v>
      </c>
      <c r="S46" s="115">
        <v>3270.18</v>
      </c>
      <c r="T46" s="5"/>
      <c r="U46" s="2"/>
    </row>
    <row r="47" spans="1:21" x14ac:dyDescent="0.3">
      <c r="A47" s="7">
        <v>2</v>
      </c>
      <c r="B47" s="38" t="s">
        <v>70</v>
      </c>
      <c r="C47" s="38" t="s">
        <v>103</v>
      </c>
      <c r="D47" s="114">
        <v>5147.1768415018623</v>
      </c>
      <c r="E47" s="114">
        <v>4392.6387694659406</v>
      </c>
      <c r="F47" s="114">
        <v>4120.2350243622805</v>
      </c>
      <c r="G47" s="115">
        <v>4954.8878323587251</v>
      </c>
      <c r="H47" s="115">
        <v>4853.6250976028086</v>
      </c>
      <c r="I47" s="115">
        <v>4762.9122120266775</v>
      </c>
      <c r="J47" s="115">
        <v>4672.1993264505454</v>
      </c>
      <c r="K47" s="115">
        <v>4581.4864408744143</v>
      </c>
      <c r="L47" s="115">
        <v>4490.7735552982822</v>
      </c>
      <c r="M47" s="115">
        <v>4400.0606697221501</v>
      </c>
      <c r="N47" s="115">
        <v>4309.347784146019</v>
      </c>
      <c r="O47" s="115">
        <v>4218.6348985698869</v>
      </c>
      <c r="P47" s="115">
        <v>4127.9220129937548</v>
      </c>
      <c r="Q47" s="115">
        <v>3942.3023639357621</v>
      </c>
      <c r="R47" s="115">
        <v>3785.4625807483717</v>
      </c>
      <c r="S47" s="115">
        <v>3628.8269304585228</v>
      </c>
      <c r="T47" s="5"/>
      <c r="U47" s="2"/>
    </row>
    <row r="48" spans="1:21" x14ac:dyDescent="0.3">
      <c r="A48" s="2"/>
      <c r="B48" s="60" t="s">
        <v>67</v>
      </c>
      <c r="C48" s="39" t="s">
        <v>103</v>
      </c>
      <c r="D48" s="114">
        <v>623.88936658068212</v>
      </c>
      <c r="E48" s="114">
        <v>699.29301614598262</v>
      </c>
      <c r="F48" s="114">
        <v>623.69828986338007</v>
      </c>
      <c r="G48" s="115">
        <v>400.66</v>
      </c>
      <c r="H48" s="115">
        <v>382.04709780441578</v>
      </c>
      <c r="I48" s="115">
        <v>363.43419560883154</v>
      </c>
      <c r="J48" s="115">
        <v>344.8212934132473</v>
      </c>
      <c r="K48" s="115">
        <v>326.20839121766306</v>
      </c>
      <c r="L48" s="115">
        <v>307.59548902207882</v>
      </c>
      <c r="M48" s="115">
        <v>288.98258682649458</v>
      </c>
      <c r="N48" s="115">
        <v>270.36968463091034</v>
      </c>
      <c r="O48" s="115">
        <v>251.75678243532613</v>
      </c>
      <c r="P48" s="115">
        <v>233.14388023974192</v>
      </c>
      <c r="Q48" s="115">
        <v>214.53097804415779</v>
      </c>
      <c r="R48" s="115">
        <v>128.3804890220789</v>
      </c>
      <c r="S48" s="115">
        <v>42.23</v>
      </c>
      <c r="T48" s="5"/>
      <c r="U48" s="2"/>
    </row>
    <row r="49" spans="1:21" x14ac:dyDescent="0.3">
      <c r="A49" s="2"/>
      <c r="B49" s="60" t="s">
        <v>64</v>
      </c>
      <c r="C49" s="39" t="s">
        <v>103</v>
      </c>
      <c r="D49" s="114">
        <v>3582.6167956434506</v>
      </c>
      <c r="E49" s="114">
        <v>2979.7458679659885</v>
      </c>
      <c r="F49" s="114">
        <v>2618.5631030858885</v>
      </c>
      <c r="G49" s="115">
        <v>2440.7723659773314</v>
      </c>
      <c r="H49" s="115">
        <v>2430.2267685451784</v>
      </c>
      <c r="I49" s="115">
        <v>2430.2267685451784</v>
      </c>
      <c r="J49" s="115">
        <v>2430.2267685451784</v>
      </c>
      <c r="K49" s="115">
        <v>2430.2267685451784</v>
      </c>
      <c r="L49" s="115">
        <v>2430.2267685451784</v>
      </c>
      <c r="M49" s="115">
        <v>2430.2267685451784</v>
      </c>
      <c r="N49" s="115">
        <v>2430.2267685451784</v>
      </c>
      <c r="O49" s="115">
        <v>2430.2267685451784</v>
      </c>
      <c r="P49" s="115">
        <v>2430.2267685451784</v>
      </c>
      <c r="Q49" s="115">
        <v>2335.3163916558015</v>
      </c>
      <c r="R49" s="115">
        <v>2122.9314013121493</v>
      </c>
      <c r="S49" s="115">
        <v>1910.5464109684976</v>
      </c>
      <c r="T49" s="5"/>
      <c r="U49" s="2"/>
    </row>
    <row r="50" spans="1:21" x14ac:dyDescent="0.3">
      <c r="A50" s="2"/>
      <c r="B50" s="60" t="s">
        <v>25</v>
      </c>
      <c r="C50" s="39" t="s">
        <v>103</v>
      </c>
      <c r="D50" s="114">
        <v>561.57447215056845</v>
      </c>
      <c r="E50" s="114">
        <v>475.47052641635611</v>
      </c>
      <c r="F50" s="114">
        <v>564.20177701347086</v>
      </c>
      <c r="G50" s="115">
        <v>1596.3697045002327</v>
      </c>
      <c r="H50" s="115">
        <v>1542.4400705493854</v>
      </c>
      <c r="I50" s="115">
        <v>1488.510436598538</v>
      </c>
      <c r="J50" s="115">
        <v>1434.5808026476907</v>
      </c>
      <c r="K50" s="115">
        <v>1380.6511686968433</v>
      </c>
      <c r="L50" s="115">
        <v>1326.721534745996</v>
      </c>
      <c r="M50" s="115">
        <v>1272.7919007951486</v>
      </c>
      <c r="N50" s="115">
        <v>1218.8622668443013</v>
      </c>
      <c r="O50" s="115">
        <v>1164.932632893454</v>
      </c>
      <c r="P50" s="115">
        <v>1111.0029989426066</v>
      </c>
      <c r="Q50" s="115">
        <v>1057.0733649917593</v>
      </c>
      <c r="R50" s="115">
        <v>1286.3366824958796</v>
      </c>
      <c r="S50" s="115">
        <v>1515.6</v>
      </c>
      <c r="T50" s="5"/>
      <c r="U50" s="2"/>
    </row>
    <row r="51" spans="1:21" x14ac:dyDescent="0.3">
      <c r="A51" s="2"/>
      <c r="B51" s="63" t="s">
        <v>71</v>
      </c>
      <c r="C51" s="43" t="s">
        <v>103</v>
      </c>
      <c r="D51" s="114">
        <v>379.12009171682433</v>
      </c>
      <c r="E51" s="114">
        <v>341.19136333237805</v>
      </c>
      <c r="F51" s="114">
        <v>583.76325594726279</v>
      </c>
      <c r="G51" s="115">
        <v>517.08151013352949</v>
      </c>
      <c r="H51" s="115">
        <v>498.91116070382935</v>
      </c>
      <c r="I51" s="115">
        <v>480.74081127412921</v>
      </c>
      <c r="J51" s="115">
        <v>462.57046184442908</v>
      </c>
      <c r="K51" s="115">
        <v>444.40011241472894</v>
      </c>
      <c r="L51" s="115">
        <v>426.2297629850288</v>
      </c>
      <c r="M51" s="115">
        <v>408.05941355532866</v>
      </c>
      <c r="N51" s="115">
        <v>389.88906412562852</v>
      </c>
      <c r="O51" s="115">
        <v>371.71871469592838</v>
      </c>
      <c r="P51" s="115">
        <v>353.54836526622825</v>
      </c>
      <c r="Q51" s="115">
        <v>335.37801583652833</v>
      </c>
      <c r="R51" s="115">
        <v>247.81400791826417</v>
      </c>
      <c r="S51" s="115">
        <v>160.25</v>
      </c>
      <c r="T51" s="5"/>
      <c r="U51" s="2"/>
    </row>
    <row r="52" spans="1:21" x14ac:dyDescent="0.3">
      <c r="A52" s="7">
        <v>3</v>
      </c>
      <c r="B52" s="44" t="s">
        <v>104</v>
      </c>
      <c r="C52" s="44" t="s">
        <v>105</v>
      </c>
      <c r="D52" s="114">
        <f>D47/D58*100</f>
        <v>52.620886513306488</v>
      </c>
      <c r="E52" s="114">
        <f>E47/E58*100</f>
        <v>46.597260579403169</v>
      </c>
      <c r="F52" s="114">
        <f>F47/F58*100</f>
        <v>48.339558878337058</v>
      </c>
      <c r="G52" s="114">
        <f>G47/G58*100</f>
        <v>58.148144152757283</v>
      </c>
      <c r="H52" s="114">
        <f t="shared" ref="H52:P52" si="4">H47/H58*100</f>
        <v>56.791499164007988</v>
      </c>
      <c r="I52" s="114">
        <f>I47/I58*100</f>
        <v>55.565897321209356</v>
      </c>
      <c r="J52" s="114">
        <f t="shared" si="4"/>
        <v>54.347495683809008</v>
      </c>
      <c r="K52" s="114">
        <f t="shared" si="4"/>
        <v>53.136230987640275</v>
      </c>
      <c r="L52" s="114">
        <f t="shared" si="4"/>
        <v>51.932040707527896</v>
      </c>
      <c r="M52" s="114">
        <f t="shared" si="4"/>
        <v>50.734863046529036</v>
      </c>
      <c r="N52" s="114">
        <f t="shared" si="4"/>
        <v>49.544636925361999</v>
      </c>
      <c r="O52" s="114">
        <f t="shared" si="4"/>
        <v>48.361301972018317</v>
      </c>
      <c r="P52" s="114">
        <f t="shared" si="4"/>
        <v>47.184798511555023</v>
      </c>
      <c r="Q52" s="114">
        <f>Q47/Q58*100</f>
        <v>44.933326257435859</v>
      </c>
      <c r="R52" s="114">
        <f>R47/R58*100</f>
        <v>44.289509649256345</v>
      </c>
      <c r="S52" s="114">
        <f>S47/S58*100</f>
        <v>43.612005361180167</v>
      </c>
      <c r="T52" s="5"/>
      <c r="U52" s="2"/>
    </row>
    <row r="53" spans="1:21" x14ac:dyDescent="0.3">
      <c r="A53" s="7">
        <v>4</v>
      </c>
      <c r="B53" s="19" t="s">
        <v>46</v>
      </c>
      <c r="C53" s="19"/>
      <c r="D53" s="114"/>
      <c r="E53" s="114"/>
      <c r="F53" s="114"/>
      <c r="G53" s="111"/>
      <c r="H53" s="111"/>
      <c r="I53" s="111"/>
      <c r="J53" s="111"/>
      <c r="K53" s="111"/>
      <c r="L53" s="111"/>
      <c r="M53" s="111"/>
      <c r="N53" s="111"/>
      <c r="O53" s="111"/>
      <c r="P53" s="111"/>
      <c r="Q53" s="111"/>
      <c r="R53" s="111"/>
      <c r="S53" s="111"/>
      <c r="T53" s="5" t="s">
        <v>214</v>
      </c>
      <c r="U53" s="2"/>
    </row>
    <row r="54" spans="1:21" x14ac:dyDescent="0.3">
      <c r="A54" s="7"/>
      <c r="B54" s="19" t="s">
        <v>202</v>
      </c>
      <c r="C54" s="19" t="s">
        <v>106</v>
      </c>
      <c r="D54" s="114">
        <v>33</v>
      </c>
      <c r="E54" s="114">
        <v>21.4</v>
      </c>
      <c r="F54" s="114">
        <v>20.9</v>
      </c>
      <c r="G54" s="111"/>
      <c r="H54" s="111"/>
      <c r="I54" s="111"/>
      <c r="J54" s="111"/>
      <c r="K54" s="111"/>
      <c r="L54" s="111"/>
      <c r="M54" s="111"/>
      <c r="N54" s="111"/>
      <c r="O54" s="111"/>
      <c r="P54" s="111"/>
      <c r="Q54" s="111"/>
      <c r="R54" s="111"/>
      <c r="S54" s="111"/>
      <c r="T54" s="5"/>
      <c r="U54" s="2"/>
    </row>
    <row r="55" spans="1:21" x14ac:dyDescent="0.3">
      <c r="A55" s="2"/>
      <c r="B55" s="19" t="s">
        <v>199</v>
      </c>
      <c r="C55" s="19" t="s">
        <v>106</v>
      </c>
      <c r="D55" s="114">
        <v>100</v>
      </c>
      <c r="E55" s="114">
        <v>97.8</v>
      </c>
      <c r="F55" s="114">
        <v>0</v>
      </c>
      <c r="G55" s="111"/>
      <c r="H55" s="111"/>
      <c r="I55" s="111"/>
      <c r="J55" s="111"/>
      <c r="K55" s="111"/>
      <c r="L55" s="111"/>
      <c r="M55" s="111"/>
      <c r="N55" s="111"/>
      <c r="O55" s="111"/>
      <c r="P55" s="111"/>
      <c r="Q55" s="111"/>
      <c r="R55" s="111"/>
      <c r="S55" s="111"/>
      <c r="T55" s="5"/>
      <c r="U55" s="26"/>
    </row>
    <row r="56" spans="1:21" x14ac:dyDescent="0.3">
      <c r="A56" s="2"/>
      <c r="B56" s="86" t="s">
        <v>200</v>
      </c>
      <c r="C56" s="19" t="s">
        <v>106</v>
      </c>
      <c r="D56" s="114">
        <v>0</v>
      </c>
      <c r="E56" s="114">
        <v>2.1</v>
      </c>
      <c r="F56" s="114">
        <v>35.299999999999997</v>
      </c>
      <c r="G56" s="111"/>
      <c r="H56" s="111"/>
      <c r="I56" s="111"/>
      <c r="J56" s="111"/>
      <c r="K56" s="111"/>
      <c r="L56" s="111"/>
      <c r="M56" s="111"/>
      <c r="N56" s="111"/>
      <c r="O56" s="111"/>
      <c r="P56" s="111"/>
      <c r="Q56" s="111"/>
      <c r="R56" s="111"/>
      <c r="S56" s="111"/>
      <c r="T56" s="5"/>
      <c r="U56" s="26"/>
    </row>
    <row r="57" spans="1:21" x14ac:dyDescent="0.3">
      <c r="A57" s="2"/>
      <c r="B57" s="86" t="s">
        <v>201</v>
      </c>
      <c r="C57" s="19" t="s">
        <v>106</v>
      </c>
      <c r="D57" s="114">
        <v>0</v>
      </c>
      <c r="E57" s="114">
        <v>0</v>
      </c>
      <c r="F57" s="114">
        <v>56.1</v>
      </c>
      <c r="G57" s="111"/>
      <c r="H57" s="111"/>
      <c r="I57" s="111"/>
      <c r="J57" s="111"/>
      <c r="K57" s="111"/>
      <c r="L57" s="111"/>
      <c r="M57" s="111"/>
      <c r="N57" s="111"/>
      <c r="O57" s="111"/>
      <c r="P57" s="111"/>
      <c r="Q57" s="111"/>
      <c r="R57" s="111"/>
      <c r="S57" s="111"/>
      <c r="T57" s="5"/>
      <c r="U57" s="93" t="s">
        <v>179</v>
      </c>
    </row>
    <row r="58" spans="1:21" x14ac:dyDescent="0.3">
      <c r="A58" s="7">
        <v>5</v>
      </c>
      <c r="B58" s="40" t="s">
        <v>107</v>
      </c>
      <c r="C58" s="40" t="s">
        <v>103</v>
      </c>
      <c r="D58" s="114">
        <v>9781.6231967134809</v>
      </c>
      <c r="E58" s="114">
        <v>9426.8176172733347</v>
      </c>
      <c r="F58" s="114">
        <v>8523.5263208178076</v>
      </c>
      <c r="G58" s="115">
        <v>8521.145265345107</v>
      </c>
      <c r="H58" s="115">
        <v>8546.3936840019669</v>
      </c>
      <c r="I58" s="115">
        <v>8571.6463544064572</v>
      </c>
      <c r="J58" s="115">
        <v>8596.8990248109421</v>
      </c>
      <c r="K58" s="115">
        <v>8622.1516952154325</v>
      </c>
      <c r="L58" s="115">
        <v>8647.4043656199228</v>
      </c>
      <c r="M58" s="115">
        <v>8672.6570360244132</v>
      </c>
      <c r="N58" s="115">
        <v>8697.9097064289017</v>
      </c>
      <c r="O58" s="115">
        <v>8723.162376833392</v>
      </c>
      <c r="P58" s="115">
        <v>8748.4150472378806</v>
      </c>
      <c r="Q58" s="115">
        <v>8773.671331049889</v>
      </c>
      <c r="R58" s="115">
        <v>8547.0862304115217</v>
      </c>
      <c r="S58" s="115">
        <v>8320.7064211007528</v>
      </c>
      <c r="T58" s="5"/>
      <c r="U58" s="2"/>
    </row>
    <row r="59" spans="1:21" x14ac:dyDescent="0.3">
      <c r="A59" s="2"/>
      <c r="B59" s="65" t="s">
        <v>67</v>
      </c>
      <c r="C59" s="41" t="s">
        <v>103</v>
      </c>
      <c r="D59" s="114">
        <v>683.24257189261482</v>
      </c>
      <c r="E59" s="114">
        <v>682.50214961306961</v>
      </c>
      <c r="F59" s="114">
        <v>605.30715582306289</v>
      </c>
      <c r="G59" s="115">
        <v>400.66</v>
      </c>
      <c r="H59" s="115">
        <v>382.04709780441578</v>
      </c>
      <c r="I59" s="115">
        <v>363.43419560883154</v>
      </c>
      <c r="J59" s="115">
        <v>344.8212934132473</v>
      </c>
      <c r="K59" s="115">
        <v>326.20839121766306</v>
      </c>
      <c r="L59" s="115">
        <v>307.59548902207882</v>
      </c>
      <c r="M59" s="115">
        <v>288.98258682649458</v>
      </c>
      <c r="N59" s="115">
        <v>270.36968463091034</v>
      </c>
      <c r="O59" s="115">
        <v>251.75678243532613</v>
      </c>
      <c r="P59" s="115">
        <v>233.14388023974192</v>
      </c>
      <c r="Q59" s="115">
        <v>214.53097804415779</v>
      </c>
      <c r="R59" s="115">
        <v>128.3804890220789</v>
      </c>
      <c r="S59" s="115">
        <v>42.23</v>
      </c>
      <c r="T59" s="5"/>
      <c r="U59" s="2"/>
    </row>
    <row r="60" spans="1:21" x14ac:dyDescent="0.3">
      <c r="A60" s="2"/>
      <c r="B60" s="65" t="s">
        <v>64</v>
      </c>
      <c r="C60" s="41" t="s">
        <v>103</v>
      </c>
      <c r="D60" s="114">
        <v>4489.8251648036685</v>
      </c>
      <c r="E60" s="114">
        <v>3698.6242476354255</v>
      </c>
      <c r="F60" s="114">
        <v>3283.4145409381863</v>
      </c>
      <c r="G60" s="115">
        <v>3124.8064210705038</v>
      </c>
      <c r="H60" s="115">
        <v>3131.2706623162421</v>
      </c>
      <c r="I60" s="115">
        <v>3137.7349035619804</v>
      </c>
      <c r="J60" s="115">
        <v>3144.1991448077188</v>
      </c>
      <c r="K60" s="115">
        <v>3150.6633860534571</v>
      </c>
      <c r="L60" s="115">
        <v>3157.1276272991954</v>
      </c>
      <c r="M60" s="115">
        <v>3163.5918685449337</v>
      </c>
      <c r="N60" s="115">
        <v>3170.0561097906721</v>
      </c>
      <c r="O60" s="115">
        <v>3176.5203510364104</v>
      </c>
      <c r="P60" s="115">
        <v>3182.9845922821487</v>
      </c>
      <c r="Q60" s="115">
        <v>3189.4488335278884</v>
      </c>
      <c r="R60" s="115">
        <v>2899.046788354281</v>
      </c>
      <c r="S60" s="115">
        <v>2608.6447431806737</v>
      </c>
      <c r="T60" s="5"/>
      <c r="U60" s="2"/>
    </row>
    <row r="61" spans="1:21" x14ac:dyDescent="0.3">
      <c r="A61" s="2"/>
      <c r="B61" s="65" t="s">
        <v>25</v>
      </c>
      <c r="C61" s="41" t="s">
        <v>103</v>
      </c>
      <c r="D61" s="114">
        <v>2369.8289863380146</v>
      </c>
      <c r="E61" s="114">
        <v>2632.3445113212952</v>
      </c>
      <c r="F61" s="114">
        <v>2081.9002579535681</v>
      </c>
      <c r="G61" s="115">
        <v>2338.1414633614158</v>
      </c>
      <c r="H61" s="115">
        <v>2331.7846774090399</v>
      </c>
      <c r="I61" s="115">
        <v>2325.4278914566639</v>
      </c>
      <c r="J61" s="115">
        <v>2319.071105504288</v>
      </c>
      <c r="K61" s="115">
        <v>2312.714319551912</v>
      </c>
      <c r="L61" s="115">
        <v>2306.3575335995361</v>
      </c>
      <c r="M61" s="115">
        <v>2300.0007476471601</v>
      </c>
      <c r="N61" s="115">
        <v>2293.6439616947841</v>
      </c>
      <c r="O61" s="115">
        <v>2287.2871757424082</v>
      </c>
      <c r="P61" s="115">
        <v>2280.9303897900322</v>
      </c>
      <c r="Q61" s="115">
        <v>2274.5736038376558</v>
      </c>
      <c r="R61" s="115">
        <v>2251.8818019188279</v>
      </c>
      <c r="S61" s="115">
        <v>2229.19</v>
      </c>
      <c r="T61" s="5"/>
      <c r="U61" s="2"/>
    </row>
    <row r="62" spans="1:21" x14ac:dyDescent="0.3">
      <c r="A62" s="2"/>
      <c r="B62" s="65" t="s">
        <v>68</v>
      </c>
      <c r="C62" s="41" t="s">
        <v>103</v>
      </c>
      <c r="D62" s="114">
        <v>0</v>
      </c>
      <c r="E62" s="114">
        <v>0</v>
      </c>
      <c r="F62" s="114">
        <v>0</v>
      </c>
      <c r="G62" s="115">
        <v>0</v>
      </c>
      <c r="H62" s="115">
        <v>0</v>
      </c>
      <c r="I62" s="115">
        <v>0</v>
      </c>
      <c r="J62" s="115">
        <v>0</v>
      </c>
      <c r="K62" s="115">
        <v>0</v>
      </c>
      <c r="L62" s="115">
        <v>0</v>
      </c>
      <c r="M62" s="115">
        <v>0</v>
      </c>
      <c r="N62" s="115">
        <v>0</v>
      </c>
      <c r="O62" s="115">
        <v>0</v>
      </c>
      <c r="P62" s="115">
        <v>0</v>
      </c>
      <c r="Q62" s="115">
        <v>0</v>
      </c>
      <c r="R62" s="115">
        <v>0</v>
      </c>
      <c r="S62" s="115">
        <v>0</v>
      </c>
      <c r="T62" s="5"/>
      <c r="U62" s="2"/>
    </row>
    <row r="63" spans="1:21" x14ac:dyDescent="0.3">
      <c r="A63" s="2"/>
      <c r="B63" s="65" t="s">
        <v>71</v>
      </c>
      <c r="C63" s="41" t="s">
        <v>103</v>
      </c>
      <c r="D63" s="114">
        <v>379.09620712716156</v>
      </c>
      <c r="E63" s="114">
        <v>341.19136333237793</v>
      </c>
      <c r="F63" s="114">
        <v>583.73937135760002</v>
      </c>
      <c r="G63" s="115">
        <v>517.08151013352949</v>
      </c>
      <c r="H63" s="115">
        <v>498.91116070382935</v>
      </c>
      <c r="I63" s="115">
        <v>480.74081127412921</v>
      </c>
      <c r="J63" s="115">
        <v>462.57046184442908</v>
      </c>
      <c r="K63" s="115">
        <v>444.40011241472894</v>
      </c>
      <c r="L63" s="115">
        <v>426.2297629850288</v>
      </c>
      <c r="M63" s="115">
        <v>408.05941355532866</v>
      </c>
      <c r="N63" s="115">
        <v>389.88906412562852</v>
      </c>
      <c r="O63" s="115">
        <v>371.71871469592838</v>
      </c>
      <c r="P63" s="115">
        <v>353.54836526622825</v>
      </c>
      <c r="Q63" s="115">
        <v>335.37801583652833</v>
      </c>
      <c r="R63" s="115">
        <v>247.81400791826417</v>
      </c>
      <c r="S63" s="115">
        <v>160.25</v>
      </c>
      <c r="T63" s="5"/>
      <c r="U63" s="2"/>
    </row>
    <row r="64" spans="1:21" x14ac:dyDescent="0.3">
      <c r="A64" s="2"/>
      <c r="B64" s="65" t="s">
        <v>72</v>
      </c>
      <c r="C64" s="41" t="s">
        <v>103</v>
      </c>
      <c r="D64" s="114">
        <v>1855.4504633610393</v>
      </c>
      <c r="E64" s="114">
        <v>2064.5122766790864</v>
      </c>
      <c r="F64" s="114">
        <v>1959.8500047769178</v>
      </c>
      <c r="G64" s="115">
        <v>2130.0976494132256</v>
      </c>
      <c r="H64" s="115">
        <v>2191.997974060213</v>
      </c>
      <c r="I64" s="115">
        <v>2253.8982987072004</v>
      </c>
      <c r="J64" s="115">
        <v>2315.7986233541878</v>
      </c>
      <c r="K64" s="115">
        <v>2377.6989480011753</v>
      </c>
      <c r="L64" s="115">
        <v>2439.5992726481627</v>
      </c>
      <c r="M64" s="115">
        <v>2501.4995972951501</v>
      </c>
      <c r="N64" s="115">
        <v>2563.3999219421376</v>
      </c>
      <c r="O64" s="115">
        <v>2625.300246589125</v>
      </c>
      <c r="P64" s="115">
        <v>2687.2005712361124</v>
      </c>
      <c r="Q64" s="115">
        <v>2749.1008958831012</v>
      </c>
      <c r="R64" s="115">
        <v>3009.6404479415505</v>
      </c>
      <c r="S64" s="115">
        <v>3270.18</v>
      </c>
      <c r="T64" s="5"/>
      <c r="U64" s="2"/>
    </row>
    <row r="65" spans="1:21" x14ac:dyDescent="0.3">
      <c r="A65" s="2"/>
      <c r="B65" s="84" t="s">
        <v>90</v>
      </c>
      <c r="C65" s="41" t="s">
        <v>103</v>
      </c>
      <c r="D65" s="114">
        <v>4.2036877806439286</v>
      </c>
      <c r="E65" s="114">
        <v>7.6191841024171199</v>
      </c>
      <c r="F65" s="114">
        <v>9.3149899684723412</v>
      </c>
      <c r="G65" s="115">
        <v>10.353969618801948</v>
      </c>
      <c r="H65" s="115">
        <v>10.382111708225851</v>
      </c>
      <c r="I65" s="115">
        <v>10.410253797649755</v>
      </c>
      <c r="J65" s="115">
        <v>10.438395887073659</v>
      </c>
      <c r="K65" s="115">
        <v>10.466537976497563</v>
      </c>
      <c r="L65" s="115">
        <v>10.494680065921466</v>
      </c>
      <c r="M65" s="115">
        <v>10.52282215534537</v>
      </c>
      <c r="N65" s="115">
        <v>10.550964244769274</v>
      </c>
      <c r="O65" s="115">
        <v>10.579106334193177</v>
      </c>
      <c r="P65" s="115">
        <v>10.607248423617081</v>
      </c>
      <c r="Q65" s="115">
        <v>10.635390513040985</v>
      </c>
      <c r="R65" s="115">
        <v>10.322695256520493</v>
      </c>
      <c r="S65" s="115">
        <v>10.01</v>
      </c>
      <c r="T65" s="5"/>
      <c r="U65" s="2"/>
    </row>
    <row r="66" spans="1:21" ht="15.6" x14ac:dyDescent="0.3">
      <c r="A66" s="145" t="s">
        <v>9</v>
      </c>
      <c r="B66" s="145"/>
      <c r="C66" s="34"/>
      <c r="D66" s="111"/>
      <c r="E66" s="111"/>
      <c r="F66" s="111"/>
      <c r="G66" s="115"/>
      <c r="H66" s="115"/>
      <c r="I66" s="115"/>
      <c r="J66" s="115"/>
      <c r="K66" s="115"/>
      <c r="L66" s="115"/>
      <c r="M66" s="115"/>
      <c r="N66" s="115"/>
      <c r="O66" s="115"/>
      <c r="P66" s="115"/>
      <c r="Q66" s="115"/>
      <c r="R66" s="115"/>
      <c r="S66" s="115"/>
      <c r="T66" s="5"/>
      <c r="U66" s="2"/>
    </row>
    <row r="67" spans="1:21" x14ac:dyDescent="0.3">
      <c r="A67" s="7">
        <v>1</v>
      </c>
      <c r="B67" s="37" t="s">
        <v>15</v>
      </c>
      <c r="C67" s="37" t="s">
        <v>108</v>
      </c>
      <c r="D67" s="114">
        <f>13161.4-104</f>
        <v>13057.4</v>
      </c>
      <c r="E67" s="114">
        <f>14902.1-106</f>
        <v>14796.1</v>
      </c>
      <c r="F67" s="114">
        <f>11402-165</f>
        <v>11237</v>
      </c>
      <c r="G67" s="115">
        <v>13188.820560835635</v>
      </c>
      <c r="H67" s="115">
        <v>13533.732480000001</v>
      </c>
      <c r="I67" s="115">
        <v>13878.646159999998</v>
      </c>
      <c r="J67" s="115">
        <v>14223.559840000002</v>
      </c>
      <c r="K67" s="115">
        <v>14568.473520000001</v>
      </c>
      <c r="L67" s="115">
        <v>14913.387200000001</v>
      </c>
      <c r="M67" s="115">
        <v>15258.300880000003</v>
      </c>
      <c r="N67" s="115">
        <v>15603.21456</v>
      </c>
      <c r="O67" s="115">
        <v>15948.128240000004</v>
      </c>
      <c r="P67" s="115">
        <v>16293.073080000002</v>
      </c>
      <c r="Q67" s="115">
        <v>16637.942298402028</v>
      </c>
      <c r="R67" s="115">
        <v>18518.842499999999</v>
      </c>
      <c r="S67" s="115">
        <v>20399.625399999997</v>
      </c>
      <c r="T67" s="5"/>
      <c r="U67" s="82"/>
    </row>
    <row r="68" spans="1:21" x14ac:dyDescent="0.3">
      <c r="A68" s="7">
        <v>2</v>
      </c>
      <c r="B68" s="37" t="s">
        <v>16</v>
      </c>
      <c r="C68" s="37"/>
      <c r="D68" s="111"/>
      <c r="E68" s="111"/>
      <c r="F68" s="114"/>
      <c r="G68" s="115"/>
      <c r="H68" s="115"/>
      <c r="I68" s="115"/>
      <c r="J68" s="115"/>
      <c r="K68" s="115"/>
      <c r="L68" s="115"/>
      <c r="M68" s="115"/>
      <c r="N68" s="115"/>
      <c r="O68" s="115"/>
      <c r="P68" s="115"/>
      <c r="Q68" s="115"/>
      <c r="R68" s="115"/>
      <c r="S68" s="115"/>
      <c r="T68" s="5"/>
      <c r="U68" s="82"/>
    </row>
    <row r="69" spans="1:21" x14ac:dyDescent="0.3">
      <c r="A69" s="2"/>
      <c r="B69" s="63" t="s">
        <v>73</v>
      </c>
      <c r="C69" s="43" t="s">
        <v>108</v>
      </c>
      <c r="D69" s="111"/>
      <c r="E69" s="111"/>
      <c r="F69" s="114"/>
      <c r="G69" s="115"/>
      <c r="H69" s="115"/>
      <c r="I69" s="115"/>
      <c r="J69" s="115"/>
      <c r="K69" s="115"/>
      <c r="L69" s="115"/>
      <c r="M69" s="115"/>
      <c r="N69" s="115"/>
      <c r="O69" s="115"/>
      <c r="P69" s="115"/>
      <c r="Q69" s="115"/>
      <c r="R69" s="115"/>
      <c r="S69" s="115"/>
      <c r="T69" s="5"/>
      <c r="U69" s="82"/>
    </row>
    <row r="70" spans="1:21" x14ac:dyDescent="0.3">
      <c r="A70" s="2"/>
      <c r="B70" s="63" t="s">
        <v>67</v>
      </c>
      <c r="C70" s="43" t="s">
        <v>108</v>
      </c>
      <c r="D70" s="114">
        <v>2327.9</v>
      </c>
      <c r="E70" s="114">
        <v>2384.9</v>
      </c>
      <c r="F70" s="114">
        <v>2310</v>
      </c>
      <c r="G70" s="115">
        <v>1548.347</v>
      </c>
      <c r="H70" s="115">
        <v>1468.3103000000001</v>
      </c>
      <c r="I70" s="115">
        <v>1388.2736</v>
      </c>
      <c r="J70" s="115">
        <v>1308.2368999999999</v>
      </c>
      <c r="K70" s="115">
        <v>1228.2001999999998</v>
      </c>
      <c r="L70" s="115">
        <v>1148.1634999999997</v>
      </c>
      <c r="M70" s="115">
        <v>1068.1267999999995</v>
      </c>
      <c r="N70" s="115">
        <v>988.09009999999955</v>
      </c>
      <c r="O70" s="115">
        <v>908.05339999999956</v>
      </c>
      <c r="P70" s="115">
        <v>828.01669999999956</v>
      </c>
      <c r="Q70" s="115">
        <v>747.98</v>
      </c>
      <c r="R70" s="115">
        <v>377.82600000000002</v>
      </c>
      <c r="S70" s="115">
        <v>7.6719999999999997</v>
      </c>
      <c r="T70" s="5"/>
      <c r="U70" s="82"/>
    </row>
    <row r="71" spans="1:21" x14ac:dyDescent="0.3">
      <c r="A71" s="2"/>
      <c r="B71" s="63" t="s">
        <v>74</v>
      </c>
      <c r="C71" s="43" t="s">
        <v>108</v>
      </c>
      <c r="D71" s="114">
        <v>1854.8</v>
      </c>
      <c r="E71" s="114">
        <v>560.20000000000005</v>
      </c>
      <c r="F71" s="114">
        <v>221</v>
      </c>
      <c r="G71" s="115">
        <v>77.55</v>
      </c>
      <c r="H71" s="115">
        <v>77.474999999999994</v>
      </c>
      <c r="I71" s="115">
        <v>77.399999999999991</v>
      </c>
      <c r="J71" s="115">
        <v>77.324999999999989</v>
      </c>
      <c r="K71" s="115">
        <v>77.249999999999986</v>
      </c>
      <c r="L71" s="115">
        <v>77.174999999999983</v>
      </c>
      <c r="M71" s="115">
        <v>77.09999999999998</v>
      </c>
      <c r="N71" s="115">
        <v>77.024999999999977</v>
      </c>
      <c r="O71" s="115">
        <v>76.949999999999974</v>
      </c>
      <c r="P71" s="115">
        <v>76.874999999999972</v>
      </c>
      <c r="Q71" s="115">
        <v>76.8</v>
      </c>
      <c r="R71" s="115">
        <v>71.424999999999997</v>
      </c>
      <c r="S71" s="115">
        <v>66.05</v>
      </c>
      <c r="T71" s="5"/>
      <c r="U71" s="82"/>
    </row>
    <row r="72" spans="1:21" x14ac:dyDescent="0.3">
      <c r="A72" s="2"/>
      <c r="B72" s="63" t="s">
        <v>75</v>
      </c>
      <c r="C72" s="43" t="s">
        <v>108</v>
      </c>
      <c r="D72" s="114">
        <v>1813.8</v>
      </c>
      <c r="E72" s="114">
        <v>2552.4</v>
      </c>
      <c r="F72" s="114">
        <v>1196.8</v>
      </c>
      <c r="G72" s="115">
        <v>2362.5740000000001</v>
      </c>
      <c r="H72" s="115">
        <v>2384.2766000000001</v>
      </c>
      <c r="I72" s="115">
        <v>2405.9792000000002</v>
      </c>
      <c r="J72" s="115">
        <v>2427.6818000000003</v>
      </c>
      <c r="K72" s="115">
        <v>2449.3844000000004</v>
      </c>
      <c r="L72" s="115">
        <v>2471.0870000000004</v>
      </c>
      <c r="M72" s="115">
        <v>2492.7896000000005</v>
      </c>
      <c r="N72" s="115">
        <v>2514.4922000000006</v>
      </c>
      <c r="O72" s="115">
        <v>2536.1948000000007</v>
      </c>
      <c r="P72" s="115">
        <v>2557.8974000000007</v>
      </c>
      <c r="Q72" s="115">
        <v>2579.6</v>
      </c>
      <c r="R72" s="115">
        <v>2619.63</v>
      </c>
      <c r="S72" s="115">
        <v>2659.66</v>
      </c>
      <c r="T72" s="5"/>
      <c r="U72" s="82"/>
    </row>
    <row r="73" spans="1:21" x14ac:dyDescent="0.3">
      <c r="A73" s="2"/>
      <c r="B73" s="63" t="s">
        <v>76</v>
      </c>
      <c r="C73" s="43" t="s">
        <v>108</v>
      </c>
      <c r="D73" s="114">
        <v>14.3</v>
      </c>
      <c r="E73" s="114">
        <v>33.1</v>
      </c>
      <c r="F73" s="114">
        <v>265.19999999999993</v>
      </c>
      <c r="G73" s="115">
        <v>507.97500000000002</v>
      </c>
      <c r="H73" s="115">
        <v>540.87750000000005</v>
      </c>
      <c r="I73" s="115">
        <v>573.78000000000009</v>
      </c>
      <c r="J73" s="115">
        <v>606.68250000000012</v>
      </c>
      <c r="K73" s="115">
        <v>639.58500000000015</v>
      </c>
      <c r="L73" s="115">
        <v>672.48750000000018</v>
      </c>
      <c r="M73" s="115">
        <v>705.39000000000021</v>
      </c>
      <c r="N73" s="115">
        <v>738.29250000000025</v>
      </c>
      <c r="O73" s="115">
        <v>771.19500000000028</v>
      </c>
      <c r="P73" s="115">
        <v>804.09750000000031</v>
      </c>
      <c r="Q73" s="115">
        <v>837</v>
      </c>
      <c r="R73" s="115">
        <v>1049.7665</v>
      </c>
      <c r="S73" s="115">
        <v>1262.5329999999999</v>
      </c>
      <c r="T73" s="5"/>
      <c r="U73" s="82"/>
    </row>
    <row r="74" spans="1:21" x14ac:dyDescent="0.3">
      <c r="A74" s="2"/>
      <c r="B74" s="63" t="s">
        <v>77</v>
      </c>
      <c r="C74" s="43" t="s">
        <v>108</v>
      </c>
      <c r="D74" s="114">
        <f>7141.1-104</f>
        <v>7037.1</v>
      </c>
      <c r="E74" s="114">
        <f>9232.3-106</f>
        <v>9126.2999999999993</v>
      </c>
      <c r="F74" s="114">
        <f>6555.4-165</f>
        <v>6390.4</v>
      </c>
      <c r="G74" s="115">
        <v>6760.53</v>
      </c>
      <c r="H74" s="115">
        <v>6816.40128</v>
      </c>
      <c r="I74" s="115">
        <v>6872.2725600000003</v>
      </c>
      <c r="J74" s="115">
        <v>6928.1438400000006</v>
      </c>
      <c r="K74" s="115">
        <v>6984.0151200000009</v>
      </c>
      <c r="L74" s="115">
        <v>7039.8864000000012</v>
      </c>
      <c r="M74" s="115">
        <v>7095.7576800000015</v>
      </c>
      <c r="N74" s="115">
        <v>7151.6289600000018</v>
      </c>
      <c r="O74" s="115">
        <v>7207.5002400000021</v>
      </c>
      <c r="P74" s="115">
        <v>7263.3715200000024</v>
      </c>
      <c r="Q74" s="115">
        <v>7319.2428</v>
      </c>
      <c r="R74" s="115">
        <v>7510.8678</v>
      </c>
      <c r="S74" s="115">
        <v>7702.4927999999991</v>
      </c>
      <c r="T74" s="5"/>
      <c r="U74" s="82"/>
    </row>
    <row r="75" spans="1:21" x14ac:dyDescent="0.3">
      <c r="A75" s="2"/>
      <c r="B75" s="63" t="s">
        <v>78</v>
      </c>
      <c r="C75" s="43" t="s">
        <v>108</v>
      </c>
      <c r="D75" s="114">
        <v>9.5</v>
      </c>
      <c r="E75" s="114">
        <v>139.10000000000002</v>
      </c>
      <c r="F75" s="114">
        <v>796.3</v>
      </c>
      <c r="G75" s="115">
        <v>1722.2159999999999</v>
      </c>
      <c r="H75" s="115">
        <v>1904.87076</v>
      </c>
      <c r="I75" s="115">
        <v>2087.5255200000001</v>
      </c>
      <c r="J75" s="115">
        <v>2270.18028</v>
      </c>
      <c r="K75" s="115">
        <v>2452.8350399999999</v>
      </c>
      <c r="L75" s="115">
        <v>2635.4897999999998</v>
      </c>
      <c r="M75" s="115">
        <v>2818.1445599999997</v>
      </c>
      <c r="N75" s="115">
        <v>3000.7993199999996</v>
      </c>
      <c r="O75" s="115">
        <v>3183.4540799999995</v>
      </c>
      <c r="P75" s="115">
        <v>3366.139999999999</v>
      </c>
      <c r="Q75" s="115">
        <v>3548.7636000000007</v>
      </c>
      <c r="R75" s="115">
        <v>4546.6590000000006</v>
      </c>
      <c r="S75" s="115">
        <v>5544.5544</v>
      </c>
      <c r="T75" s="5"/>
      <c r="U75" s="82"/>
    </row>
    <row r="76" spans="1:21" x14ac:dyDescent="0.3">
      <c r="A76" s="2"/>
      <c r="B76" s="63" t="s">
        <v>79</v>
      </c>
      <c r="C76" s="43" t="s">
        <v>108</v>
      </c>
      <c r="D76" s="114"/>
      <c r="E76" s="114">
        <v>0.1</v>
      </c>
      <c r="F76" s="114">
        <v>57.3</v>
      </c>
      <c r="G76" s="115">
        <v>133.94040000000001</v>
      </c>
      <c r="H76" s="115">
        <v>221.87328000000002</v>
      </c>
      <c r="I76" s="115">
        <v>309.80616000000003</v>
      </c>
      <c r="J76" s="115">
        <v>397.73904000000005</v>
      </c>
      <c r="K76" s="115">
        <v>485.67192000000006</v>
      </c>
      <c r="L76" s="115">
        <v>573.60480000000007</v>
      </c>
      <c r="M76" s="115">
        <v>661.53768000000002</v>
      </c>
      <c r="N76" s="115">
        <v>749.47055999999998</v>
      </c>
      <c r="O76" s="115">
        <v>837.40343999999993</v>
      </c>
      <c r="P76" s="115">
        <v>925.33631999999989</v>
      </c>
      <c r="Q76" s="115">
        <v>1013.2692000000001</v>
      </c>
      <c r="R76" s="115">
        <v>1693.9211999999998</v>
      </c>
      <c r="S76" s="115">
        <v>2374.5731999999994</v>
      </c>
      <c r="T76" s="5"/>
      <c r="U76" s="82"/>
    </row>
    <row r="77" spans="1:21" x14ac:dyDescent="0.3">
      <c r="A77" s="2"/>
      <c r="B77" s="63" t="s">
        <v>80</v>
      </c>
      <c r="C77" s="43" t="s">
        <v>108</v>
      </c>
      <c r="D77" s="111"/>
      <c r="E77" s="111"/>
      <c r="F77" s="111"/>
      <c r="G77" s="115">
        <v>75.686400000000006</v>
      </c>
      <c r="H77" s="115">
        <v>119.64776000000001</v>
      </c>
      <c r="I77" s="115">
        <v>163.60912000000002</v>
      </c>
      <c r="J77" s="115">
        <v>207.57048000000003</v>
      </c>
      <c r="K77" s="115">
        <v>251.53184000000005</v>
      </c>
      <c r="L77" s="115">
        <v>295.49320000000006</v>
      </c>
      <c r="M77" s="115">
        <v>339.45456000000007</v>
      </c>
      <c r="N77" s="115">
        <v>383.41592000000009</v>
      </c>
      <c r="O77" s="115">
        <v>427.3772800000001</v>
      </c>
      <c r="P77" s="115">
        <v>471.33864000000011</v>
      </c>
      <c r="Q77" s="115">
        <v>515.29999999999995</v>
      </c>
      <c r="R77" s="115">
        <v>648.69499999999994</v>
      </c>
      <c r="S77" s="115">
        <v>782.09</v>
      </c>
      <c r="T77" s="5"/>
      <c r="U77" s="82"/>
    </row>
    <row r="78" spans="1:21" x14ac:dyDescent="0.3">
      <c r="A78" s="2"/>
      <c r="B78" s="63" t="s">
        <v>81</v>
      </c>
      <c r="C78" s="43" t="s">
        <v>108</v>
      </c>
      <c r="D78" s="111"/>
      <c r="E78" s="111"/>
      <c r="F78" s="111"/>
      <c r="G78" s="111"/>
      <c r="H78" s="111"/>
      <c r="I78" s="111"/>
      <c r="J78" s="111"/>
      <c r="K78" s="111"/>
      <c r="L78" s="111"/>
      <c r="M78" s="111"/>
      <c r="N78" s="111"/>
      <c r="O78" s="111"/>
      <c r="P78" s="111"/>
      <c r="Q78" s="111"/>
      <c r="R78" s="111"/>
      <c r="S78" s="111"/>
      <c r="T78" s="5"/>
      <c r="U78" s="82"/>
    </row>
    <row r="79" spans="1:21" ht="42" x14ac:dyDescent="0.3">
      <c r="A79" s="7">
        <v>3</v>
      </c>
      <c r="B79" s="85" t="s">
        <v>172</v>
      </c>
      <c r="C79" s="45" t="s">
        <v>105</v>
      </c>
      <c r="D79" s="116">
        <v>0.18258994899443995</v>
      </c>
      <c r="E79" s="116">
        <v>0.20515068159852937</v>
      </c>
      <c r="F79" s="116">
        <v>0.12419684969297856</v>
      </c>
      <c r="G79" s="117">
        <v>0.22402971874601266</v>
      </c>
      <c r="H79" s="117">
        <v>0.22463653171308087</v>
      </c>
      <c r="I79" s="117">
        <v>0.22524334468014909</v>
      </c>
      <c r="J79" s="117">
        <v>0.2258501576472173</v>
      </c>
      <c r="K79" s="117">
        <v>0.22645697061428552</v>
      </c>
      <c r="L79" s="117">
        <v>0.22706378358135373</v>
      </c>
      <c r="M79" s="117">
        <v>0.22767059654842195</v>
      </c>
      <c r="N79" s="117">
        <v>0.22827740951549017</v>
      </c>
      <c r="O79" s="117">
        <v>0.22888422248255838</v>
      </c>
      <c r="P79" s="117">
        <v>0.2294910354496266</v>
      </c>
      <c r="Q79" s="117">
        <v>0.23009784841669484</v>
      </c>
      <c r="R79" s="117">
        <v>0.21926435281381013</v>
      </c>
      <c r="S79" s="117">
        <v>0.20843085721092541</v>
      </c>
      <c r="T79" s="5"/>
      <c r="U79" s="2"/>
    </row>
    <row r="80" spans="1:21" ht="31.8" x14ac:dyDescent="0.3">
      <c r="A80" s="7"/>
      <c r="B80" s="85" t="s">
        <v>173</v>
      </c>
      <c r="C80" s="45" t="s">
        <v>105</v>
      </c>
      <c r="D80" s="116">
        <f>D93/D92</f>
        <v>0.73899371069182385</v>
      </c>
      <c r="E80" s="116">
        <f t="shared" ref="E80:P80" si="5">E93/E92</f>
        <v>0.75250836120401343</v>
      </c>
      <c r="F80" s="116">
        <f t="shared" si="5"/>
        <v>0.79622641509433967</v>
      </c>
      <c r="G80" s="117">
        <f>G93/G92</f>
        <v>0.7961867131335939</v>
      </c>
      <c r="H80" s="117">
        <f t="shared" si="5"/>
        <v>0.79688086038871819</v>
      </c>
      <c r="I80" s="117">
        <f t="shared" si="5"/>
        <v>0.79758543805354531</v>
      </c>
      <c r="J80" s="117">
        <f t="shared" si="5"/>
        <v>0.79830068300219026</v>
      </c>
      <c r="K80" s="117">
        <f t="shared" si="5"/>
        <v>0.79902683933601204</v>
      </c>
      <c r="L80" s="117">
        <f t="shared" si="5"/>
        <v>0.79976415866136852</v>
      </c>
      <c r="M80" s="117">
        <f t="shared" si="5"/>
        <v>0.80051290038028178</v>
      </c>
      <c r="N80" s="117">
        <f t="shared" si="5"/>
        <v>0.80127333199471662</v>
      </c>
      <c r="O80" s="117">
        <f t="shared" si="5"/>
        <v>0.80204572942522345</v>
      </c>
      <c r="P80" s="117">
        <f t="shared" si="5"/>
        <v>0.80283037734474216</v>
      </c>
      <c r="Q80" s="117">
        <v>0.72791491848841661</v>
      </c>
      <c r="R80" s="117">
        <f>R93/R92</f>
        <v>0.80631601638284112</v>
      </c>
      <c r="S80" s="117">
        <v>0.67534323292321996</v>
      </c>
      <c r="T80" s="5"/>
      <c r="U80" s="2"/>
    </row>
    <row r="81" spans="1:21" ht="60.75" customHeight="1" x14ac:dyDescent="0.3">
      <c r="A81" s="7">
        <v>4</v>
      </c>
      <c r="B81" s="46" t="s">
        <v>180</v>
      </c>
      <c r="C81" s="86" t="s">
        <v>218</v>
      </c>
      <c r="D81" s="5">
        <v>3938</v>
      </c>
      <c r="E81" s="5">
        <v>4193</v>
      </c>
      <c r="F81" s="5">
        <v>4870</v>
      </c>
      <c r="G81" s="110">
        <v>4959</v>
      </c>
      <c r="H81" s="5">
        <v>5049</v>
      </c>
      <c r="I81" s="5">
        <v>5122</v>
      </c>
      <c r="J81" s="5">
        <v>5345</v>
      </c>
      <c r="K81" s="5">
        <v>5459</v>
      </c>
      <c r="L81" s="5">
        <v>5546</v>
      </c>
      <c r="M81" s="5">
        <v>5478</v>
      </c>
      <c r="N81" s="5">
        <v>5582</v>
      </c>
      <c r="O81" s="5">
        <v>6150</v>
      </c>
      <c r="P81" s="5">
        <v>5951.83</v>
      </c>
      <c r="Q81" s="5">
        <v>6249.1300099999999</v>
      </c>
      <c r="R81" s="5">
        <v>7127.88</v>
      </c>
      <c r="S81" s="5">
        <v>8086.63</v>
      </c>
      <c r="T81" s="5"/>
      <c r="U81" s="82"/>
    </row>
    <row r="82" spans="1:21" x14ac:dyDescent="0.3">
      <c r="A82" s="7"/>
      <c r="B82" s="94" t="s">
        <v>73</v>
      </c>
      <c r="C82" s="86" t="s">
        <v>218</v>
      </c>
      <c r="D82" s="5">
        <v>348</v>
      </c>
      <c r="E82" s="5">
        <v>348</v>
      </c>
      <c r="F82" s="5">
        <v>348</v>
      </c>
      <c r="G82" s="5">
        <v>348</v>
      </c>
      <c r="H82" s="5">
        <v>348</v>
      </c>
      <c r="I82" s="5">
        <v>348</v>
      </c>
      <c r="J82" s="5">
        <v>348</v>
      </c>
      <c r="K82" s="5">
        <v>348</v>
      </c>
      <c r="L82" s="5">
        <v>348</v>
      </c>
      <c r="M82" s="5">
        <v>348</v>
      </c>
      <c r="N82" s="5">
        <v>348</v>
      </c>
      <c r="O82" s="5">
        <v>348</v>
      </c>
      <c r="P82" s="5">
        <v>348</v>
      </c>
      <c r="Q82" s="5">
        <v>348</v>
      </c>
      <c r="R82" s="5">
        <v>348</v>
      </c>
      <c r="S82" s="5">
        <v>348</v>
      </c>
      <c r="T82" s="5" t="s">
        <v>215</v>
      </c>
      <c r="U82" s="82"/>
    </row>
    <row r="83" spans="1:21" x14ac:dyDescent="0.3">
      <c r="A83" s="7"/>
      <c r="B83" s="94" t="s">
        <v>67</v>
      </c>
      <c r="C83" s="86" t="s">
        <v>218</v>
      </c>
      <c r="D83" s="5">
        <v>316</v>
      </c>
      <c r="E83" s="5">
        <v>328</v>
      </c>
      <c r="F83" s="5">
        <v>316</v>
      </c>
      <c r="G83" s="5">
        <v>192</v>
      </c>
      <c r="H83" s="5">
        <v>192</v>
      </c>
      <c r="I83" s="5">
        <v>192</v>
      </c>
      <c r="J83" s="5">
        <v>192</v>
      </c>
      <c r="K83" s="5">
        <v>192</v>
      </c>
      <c r="L83" s="5">
        <v>192</v>
      </c>
      <c r="M83" s="5">
        <v>192</v>
      </c>
      <c r="N83" s="5">
        <v>192</v>
      </c>
      <c r="O83" s="5">
        <v>192</v>
      </c>
      <c r="P83" s="5">
        <v>297</v>
      </c>
      <c r="Q83" s="5">
        <v>297</v>
      </c>
      <c r="R83" s="5">
        <v>297</v>
      </c>
      <c r="S83" s="5">
        <v>0</v>
      </c>
      <c r="T83" s="5" t="s">
        <v>216</v>
      </c>
      <c r="U83" s="82"/>
    </row>
    <row r="84" spans="1:21" x14ac:dyDescent="0.3">
      <c r="A84" s="7"/>
      <c r="B84" s="94" t="s">
        <v>74</v>
      </c>
      <c r="C84" s="86" t="s">
        <v>218</v>
      </c>
      <c r="D84" s="5">
        <v>385</v>
      </c>
      <c r="E84" s="5">
        <v>387</v>
      </c>
      <c r="F84" s="5">
        <v>303</v>
      </c>
      <c r="G84" s="5">
        <v>303</v>
      </c>
      <c r="H84" s="5">
        <v>303</v>
      </c>
      <c r="I84" s="5">
        <v>303</v>
      </c>
      <c r="J84" s="5">
        <v>303</v>
      </c>
      <c r="K84" s="5">
        <v>303</v>
      </c>
      <c r="L84" s="5">
        <v>303</v>
      </c>
      <c r="M84" s="5">
        <v>0</v>
      </c>
      <c r="N84" s="5">
        <v>0</v>
      </c>
      <c r="O84" s="5">
        <v>0</v>
      </c>
      <c r="P84" s="5">
        <v>0</v>
      </c>
      <c r="Q84" s="5">
        <v>0</v>
      </c>
      <c r="R84" s="5">
        <v>0</v>
      </c>
      <c r="S84" s="5">
        <v>0</v>
      </c>
      <c r="T84" s="5"/>
      <c r="U84" s="82"/>
    </row>
    <row r="85" spans="1:21" x14ac:dyDescent="0.3">
      <c r="A85" s="7"/>
      <c r="B85" s="94" t="s">
        <v>75</v>
      </c>
      <c r="C85" s="86" t="s">
        <v>218</v>
      </c>
      <c r="D85" s="5">
        <v>1097</v>
      </c>
      <c r="E85" s="5">
        <v>1177</v>
      </c>
      <c r="F85" s="5">
        <v>1452</v>
      </c>
      <c r="G85" s="5">
        <v>997</v>
      </c>
      <c r="H85" s="5">
        <v>997</v>
      </c>
      <c r="I85" s="5">
        <v>997</v>
      </c>
      <c r="J85" s="5">
        <v>1147</v>
      </c>
      <c r="K85" s="5">
        <v>1147</v>
      </c>
      <c r="L85" s="5">
        <v>1147</v>
      </c>
      <c r="M85" s="5">
        <v>899</v>
      </c>
      <c r="N85" s="5">
        <v>899</v>
      </c>
      <c r="O85" s="5">
        <v>1199</v>
      </c>
      <c r="P85" s="5">
        <v>1198.8</v>
      </c>
      <c r="Q85" s="5">
        <v>1047.5999999999999</v>
      </c>
      <c r="R85" s="5">
        <v>989.8</v>
      </c>
      <c r="S85" s="5">
        <v>1289.8</v>
      </c>
      <c r="T85" s="5"/>
      <c r="U85" s="82"/>
    </row>
    <row r="86" spans="1:21" x14ac:dyDescent="0.3">
      <c r="A86" s="7"/>
      <c r="B86" s="94" t="s">
        <v>76</v>
      </c>
      <c r="C86" s="86" t="s">
        <v>218</v>
      </c>
      <c r="D86" s="5">
        <v>2</v>
      </c>
      <c r="E86" s="5">
        <v>9</v>
      </c>
      <c r="F86" s="5">
        <v>53</v>
      </c>
      <c r="G86" s="5">
        <v>154</v>
      </c>
      <c r="H86" s="5">
        <v>171</v>
      </c>
      <c r="I86" s="5">
        <v>170</v>
      </c>
      <c r="J86" s="5">
        <v>166</v>
      </c>
      <c r="K86" s="5">
        <v>161</v>
      </c>
      <c r="L86" s="5">
        <v>156</v>
      </c>
      <c r="M86" s="5">
        <v>156</v>
      </c>
      <c r="N86" s="5">
        <v>155</v>
      </c>
      <c r="O86" s="5">
        <v>151</v>
      </c>
      <c r="P86" s="5">
        <v>150.6</v>
      </c>
      <c r="Q86" s="5">
        <v>147.60001</v>
      </c>
      <c r="R86" s="5">
        <v>147.6</v>
      </c>
      <c r="S86" s="5">
        <v>145.6</v>
      </c>
      <c r="T86" s="5"/>
      <c r="U86" s="82"/>
    </row>
    <row r="87" spans="1:21" x14ac:dyDescent="0.3">
      <c r="A87" s="7"/>
      <c r="B87" s="94" t="s">
        <v>77</v>
      </c>
      <c r="C87" s="86" t="s">
        <v>218</v>
      </c>
      <c r="D87" s="5">
        <v>1784</v>
      </c>
      <c r="E87" s="5">
        <v>1865</v>
      </c>
      <c r="F87" s="5">
        <v>1932</v>
      </c>
      <c r="G87" s="5">
        <v>2125</v>
      </c>
      <c r="H87" s="5">
        <v>2125</v>
      </c>
      <c r="I87" s="5">
        <v>2125</v>
      </c>
      <c r="J87" s="5">
        <v>2125</v>
      </c>
      <c r="K87" s="5">
        <v>2158</v>
      </c>
      <c r="L87" s="5">
        <v>2158</v>
      </c>
      <c r="M87" s="5">
        <v>2536</v>
      </c>
      <c r="N87" s="5">
        <v>2536</v>
      </c>
      <c r="O87" s="5">
        <v>2686</v>
      </c>
      <c r="P87" s="5">
        <v>2260.3000000000002</v>
      </c>
      <c r="Q87" s="5">
        <v>2260.3000000000002</v>
      </c>
      <c r="R87" s="5">
        <v>2325.5500000000002</v>
      </c>
      <c r="S87" s="5">
        <v>2390.8000000000002</v>
      </c>
      <c r="T87" s="5"/>
      <c r="U87" s="82"/>
    </row>
    <row r="88" spans="1:21" x14ac:dyDescent="0.3">
      <c r="A88" s="7"/>
      <c r="B88" s="94" t="s">
        <v>78</v>
      </c>
      <c r="C88" s="86" t="s">
        <v>218</v>
      </c>
      <c r="D88" s="5">
        <v>6</v>
      </c>
      <c r="E88" s="5">
        <v>79</v>
      </c>
      <c r="F88" s="5">
        <v>418</v>
      </c>
      <c r="G88" s="5">
        <v>734</v>
      </c>
      <c r="H88" s="5">
        <v>769</v>
      </c>
      <c r="I88" s="5">
        <v>804</v>
      </c>
      <c r="J88" s="5">
        <v>839</v>
      </c>
      <c r="K88" s="5">
        <v>874</v>
      </c>
      <c r="L88" s="5">
        <v>909</v>
      </c>
      <c r="M88" s="5">
        <v>962</v>
      </c>
      <c r="N88" s="5">
        <v>1014</v>
      </c>
      <c r="O88" s="5">
        <v>1084</v>
      </c>
      <c r="P88" s="5">
        <v>1154</v>
      </c>
      <c r="Q88" s="5">
        <v>1364</v>
      </c>
      <c r="R88" s="5">
        <v>1714</v>
      </c>
      <c r="S88" s="5">
        <v>2064</v>
      </c>
      <c r="T88" s="5"/>
      <c r="U88" s="82"/>
    </row>
    <row r="89" spans="1:21" x14ac:dyDescent="0.3">
      <c r="A89" s="7"/>
      <c r="B89" s="94" t="s">
        <v>79</v>
      </c>
      <c r="C89" s="86" t="s">
        <v>218</v>
      </c>
      <c r="D89" s="5">
        <v>0</v>
      </c>
      <c r="E89" s="5">
        <v>0</v>
      </c>
      <c r="F89" s="5">
        <v>48</v>
      </c>
      <c r="G89" s="5">
        <v>96</v>
      </c>
      <c r="H89" s="5">
        <v>134</v>
      </c>
      <c r="I89" s="5">
        <v>174</v>
      </c>
      <c r="J89" s="5">
        <v>215</v>
      </c>
      <c r="K89" s="5">
        <v>266</v>
      </c>
      <c r="L89" s="5">
        <v>316</v>
      </c>
      <c r="M89" s="5">
        <v>369</v>
      </c>
      <c r="N89" s="5">
        <v>421</v>
      </c>
      <c r="O89" s="5">
        <v>474</v>
      </c>
      <c r="P89" s="5">
        <v>526.13</v>
      </c>
      <c r="Q89" s="5">
        <v>767.63</v>
      </c>
      <c r="R89" s="5">
        <v>1257.6300000000001</v>
      </c>
      <c r="S89" s="5">
        <v>1800.13</v>
      </c>
      <c r="T89" s="5"/>
      <c r="U89" s="82"/>
    </row>
    <row r="90" spans="1:21" x14ac:dyDescent="0.3">
      <c r="A90" s="7"/>
      <c r="B90" s="94" t="s">
        <v>80</v>
      </c>
      <c r="C90" s="86" t="s">
        <v>218</v>
      </c>
      <c r="D90" s="5"/>
      <c r="E90" s="5"/>
      <c r="F90" s="5"/>
      <c r="G90" s="5">
        <v>10</v>
      </c>
      <c r="H90" s="5">
        <v>10</v>
      </c>
      <c r="I90" s="5">
        <v>10</v>
      </c>
      <c r="J90" s="5">
        <v>10</v>
      </c>
      <c r="K90" s="5">
        <v>10</v>
      </c>
      <c r="L90" s="5">
        <v>17</v>
      </c>
      <c r="M90" s="5">
        <v>17</v>
      </c>
      <c r="N90" s="5">
        <v>17</v>
      </c>
      <c r="O90" s="5">
        <v>17</v>
      </c>
      <c r="P90" s="5">
        <v>17</v>
      </c>
      <c r="Q90" s="5">
        <v>17</v>
      </c>
      <c r="R90" s="5">
        <v>48.3</v>
      </c>
      <c r="S90" s="5">
        <v>48.3</v>
      </c>
      <c r="T90" s="5"/>
      <c r="U90" s="82"/>
    </row>
    <row r="91" spans="1:21" x14ac:dyDescent="0.3">
      <c r="A91" s="7"/>
      <c r="B91" s="94" t="s">
        <v>81</v>
      </c>
      <c r="C91" s="86" t="s">
        <v>218</v>
      </c>
      <c r="D91" s="5">
        <v>0</v>
      </c>
      <c r="E91" s="5">
        <v>0</v>
      </c>
      <c r="F91" s="5">
        <v>0</v>
      </c>
      <c r="G91" s="5">
        <v>0</v>
      </c>
      <c r="H91" s="5">
        <v>0</v>
      </c>
      <c r="I91" s="5">
        <v>0</v>
      </c>
      <c r="J91" s="5">
        <v>0</v>
      </c>
      <c r="K91" s="5">
        <v>0</v>
      </c>
      <c r="L91" s="5">
        <v>0</v>
      </c>
      <c r="M91" s="5">
        <v>0</v>
      </c>
      <c r="N91" s="5">
        <v>0</v>
      </c>
      <c r="O91" s="5">
        <v>0</v>
      </c>
      <c r="P91" s="5">
        <v>0</v>
      </c>
      <c r="Q91" s="5">
        <v>0</v>
      </c>
      <c r="R91" s="5">
        <v>0</v>
      </c>
      <c r="S91" s="5">
        <v>0</v>
      </c>
      <c r="T91" s="5"/>
      <c r="U91" s="82"/>
    </row>
    <row r="92" spans="1:21" x14ac:dyDescent="0.3">
      <c r="A92" s="7">
        <v>5</v>
      </c>
      <c r="B92" s="46" t="s">
        <v>10</v>
      </c>
      <c r="C92" s="46" t="s">
        <v>103</v>
      </c>
      <c r="D92" s="111">
        <v>318</v>
      </c>
      <c r="E92" s="111">
        <v>299</v>
      </c>
      <c r="F92" s="111">
        <v>265</v>
      </c>
      <c r="G92" s="115">
        <v>267.93202822319006</v>
      </c>
      <c r="H92" s="115">
        <v>265.94882540087104</v>
      </c>
      <c r="I92" s="115">
        <v>263.96562257855203</v>
      </c>
      <c r="J92" s="115">
        <v>261.98241975623301</v>
      </c>
      <c r="K92" s="115">
        <v>259.999216933914</v>
      </c>
      <c r="L92" s="115">
        <v>258.01601411159498</v>
      </c>
      <c r="M92" s="115">
        <v>256.03281128927597</v>
      </c>
      <c r="N92" s="115">
        <v>254.04960846695695</v>
      </c>
      <c r="O92" s="115">
        <v>252.06640564463794</v>
      </c>
      <c r="P92" s="115">
        <v>250.08320282231892</v>
      </c>
      <c r="Q92" s="115">
        <v>248.1</v>
      </c>
      <c r="R92" s="115">
        <v>231.95</v>
      </c>
      <c r="S92" s="115">
        <v>215.8</v>
      </c>
      <c r="T92" s="5"/>
      <c r="U92" s="2"/>
    </row>
    <row r="93" spans="1:21" ht="21.6" x14ac:dyDescent="0.3">
      <c r="A93" s="7">
        <v>6</v>
      </c>
      <c r="B93" s="47" t="s">
        <v>47</v>
      </c>
      <c r="C93" s="46" t="s">
        <v>103</v>
      </c>
      <c r="D93" s="111">
        <v>235</v>
      </c>
      <c r="E93" s="111">
        <v>225</v>
      </c>
      <c r="F93" s="111">
        <v>211</v>
      </c>
      <c r="G93" s="115">
        <v>213.323920894239</v>
      </c>
      <c r="H93" s="115">
        <v>211.92952880481511</v>
      </c>
      <c r="I93" s="115">
        <v>210.53513671539122</v>
      </c>
      <c r="J93" s="115">
        <v>209.14074462596733</v>
      </c>
      <c r="K93" s="115">
        <v>207.74635253654344</v>
      </c>
      <c r="L93" s="115">
        <v>206.35196044711955</v>
      </c>
      <c r="M93" s="115">
        <v>204.95756835769566</v>
      </c>
      <c r="N93" s="115">
        <v>203.56317626827177</v>
      </c>
      <c r="O93" s="115">
        <v>202.16878417884789</v>
      </c>
      <c r="P93" s="115">
        <v>200.774392089424</v>
      </c>
      <c r="Q93" s="115">
        <v>199.38</v>
      </c>
      <c r="R93" s="115">
        <v>187.02499999999998</v>
      </c>
      <c r="S93" s="115">
        <v>174.67</v>
      </c>
      <c r="T93" s="5"/>
      <c r="U93" s="2"/>
    </row>
    <row r="94" spans="1:21" ht="69" customHeight="1" x14ac:dyDescent="0.3">
      <c r="A94" s="7">
        <v>7</v>
      </c>
      <c r="B94" s="19" t="s">
        <v>178</v>
      </c>
      <c r="C94" s="19" t="s">
        <v>105</v>
      </c>
      <c r="D94" s="111">
        <v>356</v>
      </c>
      <c r="E94" s="5">
        <v>403</v>
      </c>
      <c r="F94" s="5">
        <v>403</v>
      </c>
      <c r="G94" s="5">
        <v>403</v>
      </c>
      <c r="H94" s="5">
        <v>403</v>
      </c>
      <c r="I94" s="5">
        <v>403</v>
      </c>
      <c r="J94" s="5">
        <v>403</v>
      </c>
      <c r="K94" s="5">
        <v>403</v>
      </c>
      <c r="L94" s="5">
        <v>403</v>
      </c>
      <c r="M94" s="5">
        <v>403</v>
      </c>
      <c r="N94" s="5">
        <v>403</v>
      </c>
      <c r="O94" s="5">
        <v>415</v>
      </c>
      <c r="P94" s="5">
        <v>415</v>
      </c>
      <c r="Q94" s="5">
        <v>415</v>
      </c>
      <c r="R94" s="5">
        <v>415</v>
      </c>
      <c r="S94" s="5">
        <v>415</v>
      </c>
      <c r="T94" s="112" t="s">
        <v>217</v>
      </c>
      <c r="U94" s="2"/>
    </row>
    <row r="95" spans="1:21" ht="15.6" x14ac:dyDescent="0.3">
      <c r="A95" s="146" t="s">
        <v>44</v>
      </c>
      <c r="B95" s="146"/>
      <c r="C95" s="35"/>
      <c r="D95" s="110"/>
      <c r="E95" s="5"/>
      <c r="F95" s="5"/>
      <c r="G95" s="5"/>
      <c r="H95" s="5"/>
      <c r="I95" s="5"/>
      <c r="J95" s="5"/>
      <c r="K95" s="5"/>
      <c r="L95" s="5"/>
      <c r="M95" s="5"/>
      <c r="N95" s="5"/>
      <c r="O95" s="5"/>
      <c r="P95" s="5"/>
      <c r="Q95" s="5"/>
      <c r="R95" s="5"/>
      <c r="S95" s="5"/>
      <c r="T95" s="5"/>
      <c r="U95" s="2"/>
    </row>
    <row r="96" spans="1:21" x14ac:dyDescent="0.3">
      <c r="A96" s="7">
        <v>1</v>
      </c>
      <c r="B96" s="38" t="s">
        <v>109</v>
      </c>
      <c r="C96" s="38" t="s">
        <v>103</v>
      </c>
      <c r="D96" s="114">
        <v>1479.1965224037451</v>
      </c>
      <c r="E96" s="114">
        <v>1260.6525269895862</v>
      </c>
      <c r="F96" s="114">
        <v>1025.6520492977929</v>
      </c>
      <c r="G96" s="115">
        <v>1010.51</v>
      </c>
      <c r="H96" s="115">
        <v>994.89400000000001</v>
      </c>
      <c r="I96" s="115">
        <v>979.27800000000002</v>
      </c>
      <c r="J96" s="115">
        <v>963.66200000000003</v>
      </c>
      <c r="K96" s="115">
        <v>948.04600000000005</v>
      </c>
      <c r="L96" s="115">
        <v>932.43000000000006</v>
      </c>
      <c r="M96" s="115">
        <v>916.81400000000008</v>
      </c>
      <c r="N96" s="115">
        <v>901.19800000000009</v>
      </c>
      <c r="O96" s="115">
        <v>885.58200000000011</v>
      </c>
      <c r="P96" s="115">
        <v>869.96600000000012</v>
      </c>
      <c r="Q96" s="115">
        <v>854.35</v>
      </c>
      <c r="R96" s="115">
        <v>817.67499999999995</v>
      </c>
      <c r="S96" s="115">
        <v>781</v>
      </c>
      <c r="T96" s="5"/>
      <c r="U96" s="2"/>
    </row>
    <row r="97" spans="1:21" x14ac:dyDescent="0.3">
      <c r="A97" s="2"/>
      <c r="B97" s="60" t="s">
        <v>67</v>
      </c>
      <c r="C97" s="39" t="s">
        <v>103</v>
      </c>
      <c r="D97" s="114">
        <v>537.25995987388933</v>
      </c>
      <c r="E97" s="114">
        <v>531.88592719977066</v>
      </c>
      <c r="F97" s="114">
        <v>524.33839686634178</v>
      </c>
      <c r="G97" s="115">
        <v>336.28</v>
      </c>
      <c r="H97" s="115">
        <v>318.56399999999996</v>
      </c>
      <c r="I97" s="115">
        <v>300.84799999999996</v>
      </c>
      <c r="J97" s="115">
        <v>283.13199999999995</v>
      </c>
      <c r="K97" s="115">
        <v>265.41599999999994</v>
      </c>
      <c r="L97" s="115">
        <v>247.69999999999993</v>
      </c>
      <c r="M97" s="115">
        <v>229.98399999999992</v>
      </c>
      <c r="N97" s="115">
        <v>212.26799999999992</v>
      </c>
      <c r="O97" s="115">
        <v>194.55199999999991</v>
      </c>
      <c r="P97" s="115">
        <v>176.8359999999999</v>
      </c>
      <c r="Q97" s="115">
        <v>159.12</v>
      </c>
      <c r="R97" s="115">
        <v>80.314999999999998</v>
      </c>
      <c r="S97" s="115">
        <v>1.51</v>
      </c>
      <c r="T97" s="5"/>
      <c r="U97" s="2"/>
    </row>
    <row r="98" spans="1:21" x14ac:dyDescent="0.3">
      <c r="A98" s="2"/>
      <c r="B98" s="60" t="s">
        <v>150</v>
      </c>
      <c r="C98" s="39" t="s">
        <v>103</v>
      </c>
      <c r="D98" s="114">
        <v>447.45390274195086</v>
      </c>
      <c r="E98" s="114">
        <v>119.49460208273621</v>
      </c>
      <c r="F98" s="114">
        <v>46.933218687302947</v>
      </c>
      <c r="G98" s="115">
        <v>15.37</v>
      </c>
      <c r="H98" s="115">
        <v>15.353</v>
      </c>
      <c r="I98" s="115">
        <v>15.336</v>
      </c>
      <c r="J98" s="115">
        <v>15.319000000000001</v>
      </c>
      <c r="K98" s="115">
        <v>15.302000000000001</v>
      </c>
      <c r="L98" s="115">
        <v>15.285000000000002</v>
      </c>
      <c r="M98" s="115">
        <v>15.268000000000002</v>
      </c>
      <c r="N98" s="115">
        <v>15.251000000000003</v>
      </c>
      <c r="O98" s="115">
        <v>15.234000000000004</v>
      </c>
      <c r="P98" s="115">
        <v>15.217000000000004</v>
      </c>
      <c r="Q98" s="115">
        <v>15.2</v>
      </c>
      <c r="R98" s="115">
        <v>14.09</v>
      </c>
      <c r="S98" s="115">
        <v>12.98</v>
      </c>
      <c r="T98" s="5"/>
      <c r="U98" s="2"/>
    </row>
    <row r="99" spans="1:21" x14ac:dyDescent="0.3">
      <c r="A99" s="2"/>
      <c r="B99" s="60" t="s">
        <v>151</v>
      </c>
      <c r="C99" s="39" t="s">
        <v>103</v>
      </c>
      <c r="D99" s="114">
        <v>490.25508741759813</v>
      </c>
      <c r="E99" s="114">
        <v>602.48877424285843</v>
      </c>
      <c r="F99" s="114">
        <v>367.72714244769276</v>
      </c>
      <c r="G99" s="115">
        <v>541</v>
      </c>
      <c r="H99" s="115">
        <v>533.24099999999999</v>
      </c>
      <c r="I99" s="115">
        <v>525.48199999999997</v>
      </c>
      <c r="J99" s="115">
        <v>517.72299999999996</v>
      </c>
      <c r="K99" s="115">
        <v>509.96399999999994</v>
      </c>
      <c r="L99" s="115">
        <v>502.20499999999993</v>
      </c>
      <c r="M99" s="115">
        <v>494.44599999999991</v>
      </c>
      <c r="N99" s="115">
        <v>486.6869999999999</v>
      </c>
      <c r="O99" s="115">
        <v>478.92799999999988</v>
      </c>
      <c r="P99" s="115">
        <v>471.16899999999987</v>
      </c>
      <c r="Q99" s="115">
        <v>463.41</v>
      </c>
      <c r="R99" s="115">
        <v>467.22</v>
      </c>
      <c r="S99" s="115">
        <v>471.03</v>
      </c>
      <c r="T99" s="5"/>
      <c r="U99" s="2"/>
    </row>
    <row r="100" spans="1:21" x14ac:dyDescent="0.3">
      <c r="A100" s="7">
        <v>2</v>
      </c>
      <c r="B100" s="38" t="s">
        <v>82</v>
      </c>
      <c r="C100" s="38" t="s">
        <v>103</v>
      </c>
      <c r="D100" s="114">
        <v>5326.550109869112</v>
      </c>
      <c r="E100" s="114">
        <v>4421.8973918028087</v>
      </c>
      <c r="F100" s="114">
        <v>3571.8448457055506</v>
      </c>
      <c r="G100" s="115">
        <v>4582.07</v>
      </c>
      <c r="H100" s="115">
        <v>4620.7547139691469</v>
      </c>
      <c r="I100" s="115">
        <v>4659.4394279382941</v>
      </c>
      <c r="J100" s="115">
        <v>4698.1241419074413</v>
      </c>
      <c r="K100" s="115">
        <v>4736.8088558765885</v>
      </c>
      <c r="L100" s="115">
        <v>4775.4935698457357</v>
      </c>
      <c r="M100" s="115">
        <v>4814.1782838148829</v>
      </c>
      <c r="N100" s="115">
        <v>4852.8629977840301</v>
      </c>
      <c r="O100" s="115">
        <v>4891.5477117531773</v>
      </c>
      <c r="P100" s="115">
        <v>4930.2324257223245</v>
      </c>
      <c r="Q100" s="115">
        <v>4968.9171396914708</v>
      </c>
      <c r="R100" s="115">
        <v>5032.7535698457359</v>
      </c>
      <c r="S100" s="115">
        <v>5096.59</v>
      </c>
      <c r="T100" s="5"/>
      <c r="U100" s="2"/>
    </row>
    <row r="101" spans="1:21" ht="15.6" x14ac:dyDescent="0.3">
      <c r="A101" s="144" t="s">
        <v>17</v>
      </c>
      <c r="B101" s="144"/>
      <c r="C101" s="33"/>
      <c r="D101" s="111"/>
      <c r="E101" s="114"/>
      <c r="F101" s="114"/>
      <c r="G101" s="115"/>
      <c r="H101" s="115"/>
      <c r="I101" s="115"/>
      <c r="J101" s="115"/>
      <c r="K101" s="115"/>
      <c r="L101" s="115"/>
      <c r="M101" s="115"/>
      <c r="N101" s="115"/>
      <c r="O101" s="115"/>
      <c r="P101" s="115"/>
      <c r="Q101" s="115"/>
      <c r="R101" s="115"/>
      <c r="S101" s="115"/>
      <c r="T101" s="5"/>
      <c r="U101" s="2"/>
    </row>
    <row r="102" spans="1:21" x14ac:dyDescent="0.3">
      <c r="A102" s="7">
        <v>1</v>
      </c>
      <c r="B102" s="38" t="s">
        <v>219</v>
      </c>
      <c r="C102" s="38" t="s">
        <v>103</v>
      </c>
      <c r="D102" s="114"/>
      <c r="E102" s="114"/>
      <c r="F102" s="114"/>
      <c r="G102" s="115"/>
      <c r="H102" s="115"/>
      <c r="I102" s="115"/>
      <c r="J102" s="115"/>
      <c r="K102" s="115"/>
      <c r="L102" s="115"/>
      <c r="M102" s="115"/>
      <c r="N102" s="115"/>
      <c r="O102" s="115"/>
      <c r="P102" s="115"/>
      <c r="Q102" s="115"/>
      <c r="R102" s="115"/>
      <c r="S102" s="115"/>
      <c r="T102" s="5"/>
      <c r="U102" s="2"/>
    </row>
    <row r="103" spans="1:21" x14ac:dyDescent="0.3">
      <c r="A103" s="7">
        <v>1</v>
      </c>
      <c r="B103" s="40" t="s">
        <v>18</v>
      </c>
      <c r="C103" s="40" t="s">
        <v>103</v>
      </c>
      <c r="D103" s="114">
        <v>7237.0067832234636</v>
      </c>
      <c r="E103" s="114">
        <v>7212.310117512181</v>
      </c>
      <c r="F103" s="114">
        <v>6585.22021591669</v>
      </c>
      <c r="G103" s="115">
        <v>6727.8926389166472</v>
      </c>
      <c r="H103" s="115">
        <v>6740.3783750249822</v>
      </c>
      <c r="I103" s="115">
        <v>6752.8641111333181</v>
      </c>
      <c r="J103" s="115">
        <v>6765.3498472416541</v>
      </c>
      <c r="K103" s="115">
        <v>6777.8355833499891</v>
      </c>
      <c r="L103" s="115">
        <v>6790.3213194583241</v>
      </c>
      <c r="M103" s="115">
        <v>6802.80705556666</v>
      </c>
      <c r="N103" s="115">
        <v>6815.2927916749959</v>
      </c>
      <c r="O103" s="115">
        <v>6827.7785277833309</v>
      </c>
      <c r="P103" s="115">
        <v>6840.2642638916659</v>
      </c>
      <c r="Q103" s="115">
        <v>6852.76</v>
      </c>
      <c r="R103" s="115">
        <v>6593.05</v>
      </c>
      <c r="S103" s="115">
        <v>6333.34</v>
      </c>
      <c r="T103" s="5"/>
      <c r="U103" s="2"/>
    </row>
    <row r="104" spans="1:21" x14ac:dyDescent="0.3">
      <c r="A104" s="7">
        <v>2</v>
      </c>
      <c r="B104" s="48" t="s">
        <v>83</v>
      </c>
      <c r="C104" s="48"/>
      <c r="D104" s="114"/>
      <c r="E104" s="114"/>
      <c r="F104" s="114"/>
      <c r="G104" s="115"/>
      <c r="H104" s="115"/>
      <c r="I104" s="115"/>
      <c r="J104" s="115"/>
      <c r="K104" s="115"/>
      <c r="L104" s="115"/>
      <c r="M104" s="115"/>
      <c r="N104" s="115"/>
      <c r="O104" s="115"/>
      <c r="P104" s="115"/>
      <c r="Q104" s="115"/>
      <c r="R104" s="115"/>
      <c r="S104" s="115"/>
      <c r="T104" s="5"/>
      <c r="U104" s="2"/>
    </row>
    <row r="105" spans="1:21" x14ac:dyDescent="0.3">
      <c r="A105" s="2"/>
      <c r="B105" s="65" t="s">
        <v>4</v>
      </c>
      <c r="C105" s="41" t="s">
        <v>103</v>
      </c>
      <c r="D105" s="114">
        <v>1563.3419317856119</v>
      </c>
      <c r="E105" s="114">
        <v>1366.0552211713002</v>
      </c>
      <c r="F105" s="114">
        <v>1089.5194420559853</v>
      </c>
      <c r="G105" s="115">
        <v>1135.8843117893393</v>
      </c>
      <c r="H105" s="115">
        <v>1140.6828806104054</v>
      </c>
      <c r="I105" s="115">
        <v>1145.4814494314714</v>
      </c>
      <c r="J105" s="115">
        <v>1150.2800182525375</v>
      </c>
      <c r="K105" s="115">
        <v>1155.0785870736036</v>
      </c>
      <c r="L105" s="115">
        <v>1159.8771558946696</v>
      </c>
      <c r="M105" s="115">
        <v>1164.6757247157357</v>
      </c>
      <c r="N105" s="115">
        <v>1169.4742935368017</v>
      </c>
      <c r="O105" s="115">
        <v>1174.2728623578678</v>
      </c>
      <c r="P105" s="115">
        <v>1179.0714311789338</v>
      </c>
      <c r="Q105" s="115">
        <v>1183.8699999999999</v>
      </c>
      <c r="R105" s="115">
        <v>1164.1099999999999</v>
      </c>
      <c r="S105" s="115">
        <v>1144.3499999999999</v>
      </c>
      <c r="T105" s="5"/>
      <c r="U105" s="2"/>
    </row>
    <row r="106" spans="1:21" x14ac:dyDescent="0.3">
      <c r="A106" s="2"/>
      <c r="B106" s="65" t="s">
        <v>84</v>
      </c>
      <c r="C106" s="41" t="s">
        <v>103</v>
      </c>
      <c r="D106" s="114">
        <v>2815.0377376516672</v>
      </c>
      <c r="E106" s="114">
        <v>2755.5412248017578</v>
      </c>
      <c r="F106" s="114">
        <v>2414.9708608006113</v>
      </c>
      <c r="G106" s="115">
        <v>2304.384647276152</v>
      </c>
      <c r="H106" s="115">
        <v>2305.4391825485368</v>
      </c>
      <c r="I106" s="115">
        <v>2306.4937178209216</v>
      </c>
      <c r="J106" s="115">
        <v>2307.5482530933064</v>
      </c>
      <c r="K106" s="115">
        <v>2308.6027883656911</v>
      </c>
      <c r="L106" s="115">
        <v>2309.6573236380759</v>
      </c>
      <c r="M106" s="115">
        <v>2310.7118589104607</v>
      </c>
      <c r="N106" s="115">
        <v>2311.7663941828455</v>
      </c>
      <c r="O106" s="115">
        <v>2312.8209294552303</v>
      </c>
      <c r="P106" s="115">
        <v>2313.8754647276151</v>
      </c>
      <c r="Q106" s="115">
        <v>2314.9299999999998</v>
      </c>
      <c r="R106" s="115">
        <v>2155.2749999999996</v>
      </c>
      <c r="S106" s="115">
        <v>1995.62</v>
      </c>
      <c r="T106" s="5"/>
      <c r="U106" s="2"/>
    </row>
    <row r="107" spans="1:21" x14ac:dyDescent="0.3">
      <c r="A107" s="2"/>
      <c r="B107" s="65" t="s">
        <v>85</v>
      </c>
      <c r="C107" s="41" t="s">
        <v>103</v>
      </c>
      <c r="D107" s="114">
        <v>692.91583070602849</v>
      </c>
      <c r="E107" s="114">
        <v>776.20139486003632</v>
      </c>
      <c r="F107" s="114">
        <v>742.93016145982608</v>
      </c>
      <c r="G107" s="115">
        <v>824.44637460317108</v>
      </c>
      <c r="H107" s="115">
        <v>835.56673714285398</v>
      </c>
      <c r="I107" s="115">
        <v>846.68709968253688</v>
      </c>
      <c r="J107" s="115">
        <v>857.80746222221978</v>
      </c>
      <c r="K107" s="115">
        <v>868.92782476190268</v>
      </c>
      <c r="L107" s="115">
        <v>880.04818730158559</v>
      </c>
      <c r="M107" s="115">
        <v>891.16854984126849</v>
      </c>
      <c r="N107" s="115">
        <v>902.28891238095139</v>
      </c>
      <c r="O107" s="115">
        <v>913.40927492063429</v>
      </c>
      <c r="P107" s="115">
        <v>924.52963746031719</v>
      </c>
      <c r="Q107" s="115">
        <v>935.65</v>
      </c>
      <c r="R107" s="115">
        <v>939.91499999999996</v>
      </c>
      <c r="S107" s="115">
        <v>944.18</v>
      </c>
      <c r="T107" s="5"/>
      <c r="U107" s="2"/>
    </row>
    <row r="108" spans="1:21" x14ac:dyDescent="0.3">
      <c r="A108" s="2"/>
      <c r="B108" s="65" t="s">
        <v>93</v>
      </c>
      <c r="C108" s="41" t="s">
        <v>103</v>
      </c>
      <c r="D108" s="114">
        <v>1923.3782363618991</v>
      </c>
      <c r="E108" s="114">
        <v>2069.7191172255662</v>
      </c>
      <c r="F108" s="114">
        <v>2107.2418075857454</v>
      </c>
      <c r="G108" s="115">
        <v>2244.5229928096842</v>
      </c>
      <c r="H108" s="115">
        <v>2241.350693528716</v>
      </c>
      <c r="I108" s="115">
        <v>2238.1783942477477</v>
      </c>
      <c r="J108" s="115">
        <v>2235.0060949667795</v>
      </c>
      <c r="K108" s="115">
        <v>2231.8337956858113</v>
      </c>
      <c r="L108" s="115">
        <v>2228.6614964048431</v>
      </c>
      <c r="M108" s="115">
        <v>2225.4891971238749</v>
      </c>
      <c r="N108" s="115">
        <v>2222.3168978429067</v>
      </c>
      <c r="O108" s="115">
        <v>2219.1445985619384</v>
      </c>
      <c r="P108" s="115">
        <v>2215.9722992809702</v>
      </c>
      <c r="Q108" s="115">
        <v>2212.8000000000002</v>
      </c>
      <c r="R108" s="115">
        <v>2133.7399999999998</v>
      </c>
      <c r="S108" s="115">
        <v>2054.6799999999998</v>
      </c>
      <c r="T108" s="5"/>
      <c r="U108" s="2"/>
    </row>
    <row r="109" spans="1:21" x14ac:dyDescent="0.3">
      <c r="A109" s="2"/>
      <c r="B109" s="88" t="s">
        <v>90</v>
      </c>
      <c r="C109" s="41" t="s">
        <v>103</v>
      </c>
      <c r="D109" s="114">
        <v>242.33304671825738</v>
      </c>
      <c r="E109" s="114">
        <v>244.76927486385785</v>
      </c>
      <c r="F109" s="114">
        <v>230.58182860418458</v>
      </c>
      <c r="G109" s="115">
        <v>218.65431243830014</v>
      </c>
      <c r="H109" s="115">
        <v>217.33888119447013</v>
      </c>
      <c r="I109" s="115">
        <v>216.02344995064013</v>
      </c>
      <c r="J109" s="115">
        <v>214.70801870681012</v>
      </c>
      <c r="K109" s="115">
        <v>213.39258746298012</v>
      </c>
      <c r="L109" s="115">
        <v>212.07715621915011</v>
      </c>
      <c r="M109" s="115">
        <v>210.76172497532011</v>
      </c>
      <c r="N109" s="115">
        <v>209.4462937314901</v>
      </c>
      <c r="O109" s="115">
        <v>208.1308624876601</v>
      </c>
      <c r="P109" s="115">
        <v>206.81543124383009</v>
      </c>
      <c r="Q109" s="115">
        <v>205.5</v>
      </c>
      <c r="R109" s="115">
        <v>200.005</v>
      </c>
      <c r="S109" s="115">
        <v>194.51</v>
      </c>
      <c r="T109" s="5"/>
      <c r="U109" s="2"/>
    </row>
    <row r="110" spans="1:21" x14ac:dyDescent="0.3">
      <c r="A110" s="2"/>
      <c r="B110" s="66" t="s">
        <v>110</v>
      </c>
      <c r="C110" s="70"/>
      <c r="D110" s="114"/>
      <c r="E110" s="114"/>
      <c r="F110" s="114"/>
      <c r="G110" s="115"/>
      <c r="H110" s="115"/>
      <c r="I110" s="115"/>
      <c r="J110" s="115"/>
      <c r="K110" s="115"/>
      <c r="L110" s="115"/>
      <c r="M110" s="115"/>
      <c r="N110" s="115"/>
      <c r="O110" s="115"/>
      <c r="P110" s="115"/>
      <c r="Q110" s="115"/>
      <c r="R110" s="115"/>
      <c r="S110" s="115"/>
      <c r="T110" s="5"/>
      <c r="U110" s="2"/>
    </row>
    <row r="111" spans="1:21" x14ac:dyDescent="0.3">
      <c r="A111" s="2"/>
      <c r="B111" s="67" t="s">
        <v>86</v>
      </c>
      <c r="C111" s="47" t="s">
        <v>103</v>
      </c>
      <c r="D111" s="114">
        <v>1387.52</v>
      </c>
      <c r="E111" s="114">
        <v>1528.43</v>
      </c>
      <c r="F111" s="114">
        <v>1556.28</v>
      </c>
      <c r="G111" s="115">
        <v>1618.7152153155946</v>
      </c>
      <c r="H111" s="115">
        <v>1607.9476937840352</v>
      </c>
      <c r="I111" s="115">
        <v>1597.1801722524758</v>
      </c>
      <c r="J111" s="115">
        <v>1586.4126507209164</v>
      </c>
      <c r="K111" s="115">
        <v>1575.645129189357</v>
      </c>
      <c r="L111" s="115">
        <v>1564.8776076577976</v>
      </c>
      <c r="M111" s="115">
        <v>1554.1100861262382</v>
      </c>
      <c r="N111" s="115">
        <v>1543.3425645946788</v>
      </c>
      <c r="O111" s="115">
        <v>1532.5750430631194</v>
      </c>
      <c r="P111" s="115">
        <v>1521.80752153156</v>
      </c>
      <c r="Q111" s="115">
        <v>1511.04</v>
      </c>
      <c r="R111" s="115">
        <v>1410.7849999999999</v>
      </c>
      <c r="S111" s="115">
        <v>1310.53</v>
      </c>
      <c r="T111" s="5"/>
      <c r="U111" s="2"/>
    </row>
    <row r="112" spans="1:21" x14ac:dyDescent="0.3">
      <c r="A112" s="2"/>
      <c r="B112" s="67" t="s">
        <v>87</v>
      </c>
      <c r="C112" s="47" t="s">
        <v>103</v>
      </c>
      <c r="D112" s="114">
        <v>535.86</v>
      </c>
      <c r="E112" s="114">
        <v>541.29</v>
      </c>
      <c r="F112" s="114">
        <v>550.96</v>
      </c>
      <c r="G112" s="115">
        <v>625.80777749408969</v>
      </c>
      <c r="H112" s="115">
        <v>633.39999974468071</v>
      </c>
      <c r="I112" s="115">
        <v>640.99222199527173</v>
      </c>
      <c r="J112" s="115">
        <v>648.58444424586276</v>
      </c>
      <c r="K112" s="115">
        <v>656.17666649645378</v>
      </c>
      <c r="L112" s="115">
        <v>663.7688887470448</v>
      </c>
      <c r="M112" s="115">
        <v>671.36111099763582</v>
      </c>
      <c r="N112" s="115">
        <v>678.95333324822684</v>
      </c>
      <c r="O112" s="115">
        <v>686.54555549881786</v>
      </c>
      <c r="P112" s="115">
        <v>694.13777774940888</v>
      </c>
      <c r="Q112" s="115">
        <v>701.73</v>
      </c>
      <c r="R112" s="115">
        <v>722.92000000000007</v>
      </c>
      <c r="S112" s="115">
        <v>744.11</v>
      </c>
      <c r="T112" s="5"/>
      <c r="U112" s="2"/>
    </row>
    <row r="113" spans="1:21" x14ac:dyDescent="0.3">
      <c r="A113" s="7">
        <v>3</v>
      </c>
      <c r="B113" s="49" t="s">
        <v>88</v>
      </c>
      <c r="C113" s="49"/>
      <c r="D113" s="114"/>
      <c r="E113" s="114"/>
      <c r="F113" s="114"/>
      <c r="G113" s="111"/>
      <c r="H113" s="111"/>
      <c r="I113" s="111"/>
      <c r="J113" s="111"/>
      <c r="K113" s="111"/>
      <c r="L113" s="111"/>
      <c r="M113" s="111"/>
      <c r="N113" s="111"/>
      <c r="O113" s="111"/>
      <c r="P113" s="111"/>
      <c r="Q113" s="111"/>
      <c r="R113" s="111"/>
      <c r="S113" s="111"/>
      <c r="T113" s="5"/>
      <c r="U113" s="2"/>
    </row>
    <row r="114" spans="1:21" x14ac:dyDescent="0.3">
      <c r="A114" s="2"/>
      <c r="B114" s="60" t="s">
        <v>67</v>
      </c>
      <c r="C114" s="39" t="s">
        <v>103</v>
      </c>
      <c r="D114" s="114">
        <v>145.98261201872552</v>
      </c>
      <c r="E114" s="114">
        <v>150.28183815802043</v>
      </c>
      <c r="F114" s="114">
        <v>80.897105187732876</v>
      </c>
      <c r="G114" s="115">
        <v>64.39</v>
      </c>
      <c r="H114" s="115">
        <v>63.491999999999997</v>
      </c>
      <c r="I114" s="115">
        <v>62.593999999999994</v>
      </c>
      <c r="J114" s="115">
        <v>61.695999999999991</v>
      </c>
      <c r="K114" s="115">
        <v>60.797999999999988</v>
      </c>
      <c r="L114" s="115">
        <v>59.899999999999984</v>
      </c>
      <c r="M114" s="115">
        <v>59.001999999999981</v>
      </c>
      <c r="N114" s="115">
        <v>58.103999999999978</v>
      </c>
      <c r="O114" s="115">
        <v>57.205999999999975</v>
      </c>
      <c r="P114" s="115">
        <v>56.307999999999971</v>
      </c>
      <c r="Q114" s="115">
        <v>55.41</v>
      </c>
      <c r="R114" s="115">
        <v>48.064999999999998</v>
      </c>
      <c r="S114" s="115">
        <v>40.72</v>
      </c>
      <c r="T114" s="5"/>
      <c r="U114" s="2"/>
    </row>
    <row r="115" spans="1:21" x14ac:dyDescent="0.3">
      <c r="A115" s="2"/>
      <c r="B115" s="60" t="s">
        <v>64</v>
      </c>
      <c r="C115" s="39" t="s">
        <v>103</v>
      </c>
      <c r="D115" s="114">
        <v>3108.2210757619182</v>
      </c>
      <c r="E115" s="114">
        <v>2901.9776440240757</v>
      </c>
      <c r="F115" s="114">
        <v>2745.796312219356</v>
      </c>
      <c r="G115" s="115">
        <v>2816.4519017928819</v>
      </c>
      <c r="H115" s="115">
        <v>2794.8657804308505</v>
      </c>
      <c r="I115" s="115">
        <v>2773.279659068819</v>
      </c>
      <c r="J115" s="115">
        <v>2751.6935377067875</v>
      </c>
      <c r="K115" s="115">
        <v>2730.1074163447561</v>
      </c>
      <c r="L115" s="115">
        <v>2708.5212949827246</v>
      </c>
      <c r="M115" s="115">
        <v>2686.9351736206931</v>
      </c>
      <c r="N115" s="115">
        <v>2665.3490522586617</v>
      </c>
      <c r="O115" s="115">
        <v>2643.7629308966302</v>
      </c>
      <c r="P115" s="115">
        <v>2622.1768095345988</v>
      </c>
      <c r="Q115" s="115">
        <v>2600.5906881725673</v>
      </c>
      <c r="R115" s="115">
        <v>2341.4703440862836</v>
      </c>
      <c r="S115" s="115">
        <v>2082.35</v>
      </c>
      <c r="T115" s="5"/>
      <c r="U115" s="2"/>
    </row>
    <row r="116" spans="1:21" x14ac:dyDescent="0.3">
      <c r="A116" s="2"/>
      <c r="B116" s="60" t="s">
        <v>89</v>
      </c>
      <c r="C116" s="39" t="s">
        <v>103</v>
      </c>
      <c r="D116" s="114">
        <v>1236.1230534059425</v>
      </c>
      <c r="E116" s="114">
        <v>1287.5226903601795</v>
      </c>
      <c r="F116" s="114">
        <v>977.4768319480271</v>
      </c>
      <c r="G116" s="115">
        <v>1040.8315694166015</v>
      </c>
      <c r="H116" s="115">
        <v>1042.6195395037553</v>
      </c>
      <c r="I116" s="115">
        <v>1044.4075095909091</v>
      </c>
      <c r="J116" s="115">
        <v>1046.1954796780628</v>
      </c>
      <c r="K116" s="115">
        <v>1047.9834497652166</v>
      </c>
      <c r="L116" s="115">
        <v>1049.7714198523704</v>
      </c>
      <c r="M116" s="115">
        <v>1051.5593899395242</v>
      </c>
      <c r="N116" s="115">
        <v>1053.347360026678</v>
      </c>
      <c r="O116" s="115">
        <v>1055.1353301138317</v>
      </c>
      <c r="P116" s="115">
        <v>1056.9233002009855</v>
      </c>
      <c r="Q116" s="115">
        <v>1058.7112702881386</v>
      </c>
      <c r="R116" s="115">
        <v>1039.3906351440694</v>
      </c>
      <c r="S116" s="115">
        <v>1020.07</v>
      </c>
      <c r="T116" s="5"/>
      <c r="U116" s="2"/>
    </row>
    <row r="117" spans="1:21" x14ac:dyDescent="0.3">
      <c r="A117" s="2"/>
      <c r="B117" s="60" t="s">
        <v>71</v>
      </c>
      <c r="C117" s="39" t="s">
        <v>103</v>
      </c>
      <c r="D117" s="114">
        <v>1239.6340880863665</v>
      </c>
      <c r="E117" s="114">
        <v>1363.88172351199</v>
      </c>
      <c r="F117" s="114">
        <v>1319.2653100219738</v>
      </c>
      <c r="G117" s="115">
        <v>1381.6075681915754</v>
      </c>
      <c r="H117" s="115">
        <v>1395.0021426308151</v>
      </c>
      <c r="I117" s="115">
        <v>1408.3967170700548</v>
      </c>
      <c r="J117" s="115">
        <v>1421.7912915092945</v>
      </c>
      <c r="K117" s="115">
        <v>1435.1858659485342</v>
      </c>
      <c r="L117" s="115">
        <v>1448.5804403877739</v>
      </c>
      <c r="M117" s="115">
        <v>1461.9750148270136</v>
      </c>
      <c r="N117" s="115">
        <v>1475.3695892662533</v>
      </c>
      <c r="O117" s="115">
        <v>1488.764163705493</v>
      </c>
      <c r="P117" s="115">
        <v>1502.1587381447328</v>
      </c>
      <c r="Q117" s="115">
        <v>1515.5533125839731</v>
      </c>
      <c r="R117" s="115">
        <v>1587.7666562919867</v>
      </c>
      <c r="S117" s="115">
        <v>1659.98</v>
      </c>
      <c r="T117" s="5"/>
      <c r="U117" s="2"/>
    </row>
    <row r="118" spans="1:21" x14ac:dyDescent="0.3">
      <c r="A118" s="2"/>
      <c r="B118" s="60" t="s">
        <v>111</v>
      </c>
      <c r="C118" s="39" t="s">
        <v>103</v>
      </c>
      <c r="D118" s="114">
        <v>257.49976115410334</v>
      </c>
      <c r="E118" s="114">
        <v>245.46192796407757</v>
      </c>
      <c r="F118" s="114">
        <v>211.99961784656537</v>
      </c>
      <c r="G118" s="115">
        <v>221.12017389283852</v>
      </c>
      <c r="H118" s="115">
        <v>222.27704956620605</v>
      </c>
      <c r="I118" s="115">
        <v>223.43392523957357</v>
      </c>
      <c r="J118" s="115">
        <v>224.59080091294109</v>
      </c>
      <c r="K118" s="115">
        <v>225.74767658630861</v>
      </c>
      <c r="L118" s="115">
        <v>226.90455225967614</v>
      </c>
      <c r="M118" s="115">
        <v>228.06142793304366</v>
      </c>
      <c r="N118" s="115">
        <v>229.21830360641118</v>
      </c>
      <c r="O118" s="115">
        <v>230.37517927977871</v>
      </c>
      <c r="P118" s="115">
        <v>231.53205495314623</v>
      </c>
      <c r="Q118" s="115">
        <v>232.68893062651378</v>
      </c>
      <c r="R118" s="115">
        <v>227.86446531325689</v>
      </c>
      <c r="S118" s="115">
        <v>223.04</v>
      </c>
      <c r="T118" s="5"/>
      <c r="U118" s="2"/>
    </row>
    <row r="119" spans="1:21" x14ac:dyDescent="0.3">
      <c r="A119" s="2"/>
      <c r="B119" s="60" t="s">
        <v>72</v>
      </c>
      <c r="C119" s="39" t="s">
        <v>103</v>
      </c>
      <c r="D119" s="114">
        <v>1245.3663896054265</v>
      </c>
      <c r="E119" s="114">
        <v>1255.5173402120952</v>
      </c>
      <c r="F119" s="114">
        <v>1240.4939333142256</v>
      </c>
      <c r="G119" s="115">
        <v>1193.1384167328597</v>
      </c>
      <c r="H119" s="115">
        <v>1211.7416433698977</v>
      </c>
      <c r="I119" s="115">
        <v>1230.3448700069357</v>
      </c>
      <c r="J119" s="115">
        <v>1248.9480966439737</v>
      </c>
      <c r="K119" s="115">
        <v>1267.5513232810117</v>
      </c>
      <c r="L119" s="115">
        <v>1286.1545499180497</v>
      </c>
      <c r="M119" s="115">
        <v>1304.7577765550877</v>
      </c>
      <c r="N119" s="115">
        <v>1323.3610031921257</v>
      </c>
      <c r="O119" s="115">
        <v>1341.9642298291637</v>
      </c>
      <c r="P119" s="115">
        <v>1360.5674564662017</v>
      </c>
      <c r="Q119" s="115">
        <v>1379.1706831032398</v>
      </c>
      <c r="R119" s="115">
        <v>1338.0653415516199</v>
      </c>
      <c r="S119" s="115">
        <v>1296.96</v>
      </c>
      <c r="T119" s="5"/>
      <c r="U119" s="2"/>
    </row>
    <row r="120" spans="1:21" x14ac:dyDescent="0.3">
      <c r="A120" s="2"/>
      <c r="B120" s="60" t="s">
        <v>90</v>
      </c>
      <c r="C120" s="39" t="s">
        <v>103</v>
      </c>
      <c r="D120" s="114">
        <v>4.2036877806439286</v>
      </c>
      <c r="E120" s="114">
        <v>7.6191841024171199</v>
      </c>
      <c r="F120" s="114">
        <v>9.3149899684723412</v>
      </c>
      <c r="G120" s="115">
        <v>10.353969618801948</v>
      </c>
      <c r="H120" s="115">
        <v>10.382111708225851</v>
      </c>
      <c r="I120" s="115">
        <v>10.410253797649755</v>
      </c>
      <c r="J120" s="115">
        <v>10.438395887073659</v>
      </c>
      <c r="K120" s="115">
        <v>10.466537976497563</v>
      </c>
      <c r="L120" s="115">
        <v>10.494680065921466</v>
      </c>
      <c r="M120" s="115">
        <v>10.52282215534537</v>
      </c>
      <c r="N120" s="115">
        <v>10.550964244769274</v>
      </c>
      <c r="O120" s="115">
        <v>10.579106334193177</v>
      </c>
      <c r="P120" s="115">
        <v>10.607248423617081</v>
      </c>
      <c r="Q120" s="115">
        <v>10.635390513040985</v>
      </c>
      <c r="R120" s="115">
        <v>10.322695256520493</v>
      </c>
      <c r="S120" s="115">
        <v>10.01</v>
      </c>
      <c r="T120" s="5"/>
      <c r="U120" s="2"/>
    </row>
    <row r="121" spans="1:21" x14ac:dyDescent="0.3">
      <c r="A121" s="7">
        <v>4</v>
      </c>
      <c r="B121" s="38" t="s">
        <v>51</v>
      </c>
      <c r="C121" s="38" t="s">
        <v>103</v>
      </c>
      <c r="D121" s="114">
        <v>674.9068501003153</v>
      </c>
      <c r="E121" s="114">
        <v>596.06381962357887</v>
      </c>
      <c r="F121" s="114">
        <v>529.59300659214671</v>
      </c>
      <c r="G121" s="115">
        <v>554.75000000000011</v>
      </c>
      <c r="H121" s="115">
        <v>554.07437500000015</v>
      </c>
      <c r="I121" s="115">
        <v>553.39875000000018</v>
      </c>
      <c r="J121" s="115">
        <v>552.72312500000021</v>
      </c>
      <c r="K121" s="115">
        <v>552.04750000000024</v>
      </c>
      <c r="L121" s="115">
        <v>551.37187500000027</v>
      </c>
      <c r="M121" s="115">
        <v>550.6962500000003</v>
      </c>
      <c r="N121" s="115">
        <v>550.02062500000034</v>
      </c>
      <c r="O121" s="115">
        <v>549.34500000000037</v>
      </c>
      <c r="P121" s="115">
        <v>548.6693750000004</v>
      </c>
      <c r="Q121" s="115">
        <v>547.99375000000009</v>
      </c>
      <c r="R121" s="115">
        <v>544.39187500000003</v>
      </c>
      <c r="S121" s="115">
        <v>540.79</v>
      </c>
      <c r="T121" s="5"/>
      <c r="U121" s="2"/>
    </row>
    <row r="122" spans="1:21" x14ac:dyDescent="0.3">
      <c r="A122" s="7">
        <v>5</v>
      </c>
      <c r="B122" s="44" t="s">
        <v>19</v>
      </c>
      <c r="C122" s="44" t="s">
        <v>112</v>
      </c>
      <c r="D122" s="106">
        <f>(D58*1000)/(D9*1000000)</f>
        <v>2.5970655450448238E-4</v>
      </c>
      <c r="E122" s="106">
        <f t="shared" ref="E122:S122" si="6">(E58*1000)/(E9*1000000)</f>
        <v>2.3629594888997799E-4</v>
      </c>
      <c r="F122" s="106">
        <f t="shared" si="6"/>
        <v>2.3025163590514067E-4</v>
      </c>
      <c r="G122" s="106">
        <f t="shared" si="6"/>
        <v>1.9549471100370537E-4</v>
      </c>
      <c r="H122" s="106">
        <f t="shared" si="6"/>
        <v>1.9152700101540866E-4</v>
      </c>
      <c r="I122" s="106">
        <f t="shared" si="6"/>
        <v>1.8773923622824763E-4</v>
      </c>
      <c r="J122" s="106">
        <f t="shared" si="6"/>
        <v>1.8411936165174507E-4</v>
      </c>
      <c r="K122" s="106">
        <f t="shared" si="6"/>
        <v>1.8065645686948928E-4</v>
      </c>
      <c r="L122" s="106">
        <f t="shared" si="6"/>
        <v>1.773405284574438E-4</v>
      </c>
      <c r="M122" s="106">
        <f t="shared" si="6"/>
        <v>1.7416241366689843E-4</v>
      </c>
      <c r="N122" s="106">
        <f t="shared" si="6"/>
        <v>1.7111369587207042E-4</v>
      </c>
      <c r="O122" s="106">
        <f t="shared" si="6"/>
        <v>1.6818663013931198E-4</v>
      </c>
      <c r="P122" s="106">
        <f t="shared" si="6"/>
        <v>1.6537407753199708E-4</v>
      </c>
      <c r="Q122" s="106">
        <f t="shared" si="6"/>
        <v>1.6266951397278325E-4</v>
      </c>
      <c r="R122" s="106">
        <f t="shared" si="6"/>
        <v>1.4454913420916882E-4</v>
      </c>
      <c r="S122" s="106">
        <f t="shared" si="6"/>
        <v>1.2935818324861639E-4</v>
      </c>
      <c r="T122" s="5"/>
      <c r="U122" s="75"/>
    </row>
    <row r="123" spans="1:21" x14ac:dyDescent="0.3">
      <c r="A123" s="7">
        <v>6</v>
      </c>
      <c r="B123" s="44" t="s">
        <v>20</v>
      </c>
      <c r="C123" s="44"/>
      <c r="D123" s="110"/>
      <c r="E123" s="5"/>
      <c r="F123" s="5"/>
      <c r="G123" s="5"/>
      <c r="H123" s="5"/>
      <c r="I123" s="5"/>
      <c r="J123" s="5"/>
      <c r="K123" s="5"/>
      <c r="L123" s="5"/>
      <c r="M123" s="5"/>
      <c r="N123" s="5"/>
      <c r="O123" s="5"/>
      <c r="P123" s="5"/>
      <c r="Q123" s="5"/>
      <c r="R123" s="5"/>
      <c r="S123" s="5"/>
      <c r="T123" s="5"/>
      <c r="U123" s="75"/>
    </row>
    <row r="124" spans="1:21" ht="21.6" x14ac:dyDescent="0.3">
      <c r="A124" s="2"/>
      <c r="B124" s="50" t="s">
        <v>113</v>
      </c>
      <c r="C124" s="50" t="s">
        <v>114</v>
      </c>
      <c r="D124" s="107">
        <f>(D105*1000)/(D14*1000000)</f>
        <v>2.6337208684640133E-4</v>
      </c>
      <c r="E124" s="107">
        <f t="shared" ref="E124:S124" si="7">(E105*1000)/(E14*1000000)</f>
        <v>2.4223276712358194E-4</v>
      </c>
      <c r="F124" s="107">
        <f t="shared" si="7"/>
        <v>1.9537909577783244E-4</v>
      </c>
      <c r="G124" s="107">
        <f t="shared" si="7"/>
        <v>1.7032551618376254E-4</v>
      </c>
      <c r="H124" s="107">
        <f t="shared" si="7"/>
        <v>1.6681494519532852E-4</v>
      </c>
      <c r="I124" s="107">
        <f t="shared" si="7"/>
        <v>1.6347382340417804E-4</v>
      </c>
      <c r="J124" s="107">
        <f t="shared" si="7"/>
        <v>1.6029017139314029E-4</v>
      </c>
      <c r="K124" s="107">
        <f t="shared" si="7"/>
        <v>1.5725311294694067E-4</v>
      </c>
      <c r="L124" s="107">
        <f t="shared" si="7"/>
        <v>1.5435275091584721E-4</v>
      </c>
      <c r="M124" s="107">
        <f t="shared" si="7"/>
        <v>1.5158005947233418E-4</v>
      </c>
      <c r="N124" s="107">
        <f t="shared" si="7"/>
        <v>1.4892679028954614E-4</v>
      </c>
      <c r="O124" s="107">
        <f t="shared" si="7"/>
        <v>1.4638539058712182E-4</v>
      </c>
      <c r="P124" s="107">
        <f t="shared" si="7"/>
        <v>1.4394893132926734E-4</v>
      </c>
      <c r="Q124" s="107">
        <f t="shared" si="7"/>
        <v>1.4161104413752142E-4</v>
      </c>
      <c r="R124" s="107">
        <f t="shared" si="7"/>
        <v>1.261311535595518E-4</v>
      </c>
      <c r="S124" s="107">
        <f t="shared" si="7"/>
        <v>1.1331644206869569E-4</v>
      </c>
      <c r="T124" s="5"/>
      <c r="U124" s="2"/>
    </row>
    <row r="125" spans="1:21" ht="21.6" x14ac:dyDescent="0.3">
      <c r="A125" s="2"/>
      <c r="B125" s="50" t="s">
        <v>115</v>
      </c>
      <c r="C125" s="50" t="s">
        <v>114</v>
      </c>
      <c r="D125" s="5"/>
      <c r="E125" s="5"/>
      <c r="F125" s="5"/>
      <c r="G125" s="5"/>
      <c r="H125" s="5"/>
      <c r="I125" s="5"/>
      <c r="J125" s="5"/>
      <c r="K125" s="5"/>
      <c r="L125" s="5"/>
      <c r="M125" s="5"/>
      <c r="N125" s="5"/>
      <c r="O125" s="5"/>
      <c r="P125" s="5"/>
      <c r="Q125" s="5"/>
      <c r="R125" s="5"/>
      <c r="S125" s="5"/>
      <c r="T125" s="5"/>
      <c r="U125" s="2"/>
    </row>
    <row r="126" spans="1:21" ht="21.6" x14ac:dyDescent="0.3">
      <c r="A126" s="2"/>
      <c r="B126" s="50" t="s">
        <v>116</v>
      </c>
      <c r="C126" s="50" t="s">
        <v>114</v>
      </c>
      <c r="D126" s="107">
        <f>(D107*1000)/(D12*1000000)</f>
        <v>2.7299645567849114E-5</v>
      </c>
      <c r="E126" s="107">
        <f t="shared" ref="E126:S126" si="8">(E107*1000)/(E12*1000000)</f>
        <v>2.7888282335655036E-5</v>
      </c>
      <c r="F126" s="107">
        <f t="shared" si="8"/>
        <v>2.8260993960940847E-5</v>
      </c>
      <c r="G126" s="107">
        <f t="shared" si="8"/>
        <v>2.6944016992154935E-5</v>
      </c>
      <c r="H126" s="107">
        <f t="shared" si="8"/>
        <v>2.66191843229479E-5</v>
      </c>
      <c r="I126" s="107">
        <f t="shared" si="8"/>
        <v>2.6310323366005685E-5</v>
      </c>
      <c r="J126" s="107">
        <f t="shared" si="8"/>
        <v>2.6016284415528055E-5</v>
      </c>
      <c r="K126" s="107">
        <f t="shared" si="8"/>
        <v>2.5736025527065459E-5</v>
      </c>
      <c r="L126" s="107">
        <f t="shared" si="8"/>
        <v>2.5468600181069331E-5</v>
      </c>
      <c r="M126" s="107">
        <f t="shared" si="8"/>
        <v>2.5213146603231302E-5</v>
      </c>
      <c r="N126" s="107">
        <f t="shared" si="8"/>
        <v>2.49688784877029E-5</v>
      </c>
      <c r="O126" s="107">
        <f t="shared" si="8"/>
        <v>2.4735076912805649E-5</v>
      </c>
      <c r="P126" s="107">
        <f t="shared" si="8"/>
        <v>2.4511083274144954E-5</v>
      </c>
      <c r="Q126" s="107">
        <f t="shared" si="8"/>
        <v>2.4296293088816877E-5</v>
      </c>
      <c r="R126" s="107">
        <f t="shared" si="8"/>
        <v>2.2111610040725128E-5</v>
      </c>
      <c r="S126" s="107">
        <f t="shared" si="8"/>
        <v>2.0302532199988526E-5</v>
      </c>
      <c r="T126" s="5"/>
      <c r="U126" s="2"/>
    </row>
    <row r="127" spans="1:21" x14ac:dyDescent="0.3">
      <c r="A127" s="2"/>
      <c r="B127" s="50" t="s">
        <v>86</v>
      </c>
      <c r="C127" s="50" t="s">
        <v>148</v>
      </c>
      <c r="D127" s="5">
        <f>(D111*1000)/D18</f>
        <v>32.883955832542853</v>
      </c>
      <c r="E127" s="5">
        <f t="shared" ref="E127:S127" si="9">(E111*1000)/E18</f>
        <v>32.422173268582412</v>
      </c>
      <c r="F127" s="5">
        <f t="shared" si="9"/>
        <v>31.752814449233711</v>
      </c>
      <c r="G127" s="5">
        <f t="shared" si="9"/>
        <v>32.11167702573858</v>
      </c>
      <c r="H127" s="5">
        <f t="shared" si="9"/>
        <v>31.690895149767311</v>
      </c>
      <c r="I127" s="5">
        <f t="shared" si="9"/>
        <v>31.275543969172734</v>
      </c>
      <c r="J127" s="5">
        <f t="shared" si="9"/>
        <v>30.865519023580756</v>
      </c>
      <c r="K127" s="5">
        <f t="shared" si="9"/>
        <v>30.460718514633879</v>
      </c>
      <c r="L127" s="5">
        <f t="shared" si="9"/>
        <v>30.061043221731136</v>
      </c>
      <c r="M127" s="5">
        <f t="shared" ref="M127:P127" si="10">(M111*1000)/M18</f>
        <v>29.581529044470884</v>
      </c>
      <c r="N127" s="5">
        <f t="shared" si="10"/>
        <v>29.110694826644099</v>
      </c>
      <c r="O127" s="5">
        <f t="shared" si="10"/>
        <v>28.648307000879253</v>
      </c>
      <c r="P127" s="5">
        <f t="shared" si="10"/>
        <v>28.194140305333928</v>
      </c>
      <c r="Q127" s="5">
        <f t="shared" si="9"/>
        <v>27.747977417772685</v>
      </c>
      <c r="R127" s="5">
        <f t="shared" si="9"/>
        <v>24.941297403559631</v>
      </c>
      <c r="S127" s="5">
        <f t="shared" si="9"/>
        <v>22.375406568613545</v>
      </c>
      <c r="T127" s="5"/>
      <c r="U127" s="2"/>
    </row>
    <row r="128" spans="1:21" x14ac:dyDescent="0.3">
      <c r="A128" s="2"/>
      <c r="B128" s="50" t="s">
        <v>87</v>
      </c>
      <c r="C128" s="50" t="s">
        <v>149</v>
      </c>
      <c r="D128" s="5">
        <f>(D112*1000)/D25</f>
        <v>41.094450939989663</v>
      </c>
      <c r="E128" s="5">
        <f t="shared" ref="E128:S128" si="11">(E112*1000)/E25</f>
        <v>40.776891590902679</v>
      </c>
      <c r="F128" s="5">
        <f t="shared" si="11"/>
        <v>38.195464487462523</v>
      </c>
      <c r="G128" s="5">
        <f t="shared" si="11"/>
        <v>38.989228440772017</v>
      </c>
      <c r="H128" s="5">
        <f t="shared" si="11"/>
        <v>38.487489833191383</v>
      </c>
      <c r="I128" s="5">
        <f t="shared" si="11"/>
        <v>38.009940475516068</v>
      </c>
      <c r="J128" s="5">
        <f t="shared" si="11"/>
        <v>37.554872265465221</v>
      </c>
      <c r="K128" s="5">
        <f t="shared" si="11"/>
        <v>37.120734223877982</v>
      </c>
      <c r="L128" s="5">
        <f t="shared" si="11"/>
        <v>36.706114834250712</v>
      </c>
      <c r="M128" s="5">
        <f t="shared" ref="M128:P128" si="12">(M112*1000)/M25</f>
        <v>36.309726711923695</v>
      </c>
      <c r="N128" s="5">
        <f t="shared" si="12"/>
        <v>35.930393252099876</v>
      </c>
      <c r="O128" s="5">
        <f t="shared" si="12"/>
        <v>35.567036964982847</v>
      </c>
      <c r="P128" s="5">
        <f t="shared" si="12"/>
        <v>35.21866925445385</v>
      </c>
      <c r="Q128" s="5">
        <f t="shared" si="11"/>
        <v>34.884381436087011</v>
      </c>
      <c r="R128" s="5">
        <f t="shared" si="11"/>
        <v>32.639791971192857</v>
      </c>
      <c r="S128" s="5">
        <f t="shared" si="11"/>
        <v>30.772543183612552</v>
      </c>
      <c r="T128" s="5"/>
      <c r="U128" s="2"/>
    </row>
    <row r="129" spans="1:21" ht="15.6" x14ac:dyDescent="0.3">
      <c r="A129" s="144" t="s">
        <v>21</v>
      </c>
      <c r="B129" s="144"/>
      <c r="C129" s="33"/>
      <c r="D129" s="5"/>
      <c r="E129" s="5"/>
      <c r="F129" s="5"/>
      <c r="G129" s="5"/>
      <c r="H129" s="5"/>
      <c r="I129" s="5"/>
      <c r="J129" s="5"/>
      <c r="K129" s="5"/>
      <c r="L129" s="5"/>
      <c r="M129" s="5"/>
      <c r="N129" s="5"/>
      <c r="O129" s="5"/>
      <c r="P129" s="5"/>
      <c r="Q129" s="5"/>
      <c r="R129" s="5"/>
      <c r="S129" s="5"/>
      <c r="T129" s="5"/>
      <c r="U129" s="2"/>
    </row>
    <row r="130" spans="1:21" ht="21.6" x14ac:dyDescent="0.3">
      <c r="A130" s="7">
        <v>1</v>
      </c>
      <c r="B130" s="38" t="s">
        <v>117</v>
      </c>
      <c r="C130" s="38"/>
      <c r="D130" s="110"/>
      <c r="E130" s="5"/>
      <c r="F130" s="5"/>
      <c r="G130" s="5"/>
      <c r="H130" s="5"/>
      <c r="I130" s="5"/>
      <c r="J130" s="5"/>
      <c r="K130" s="5"/>
      <c r="L130" s="5"/>
      <c r="M130" s="5"/>
      <c r="N130" s="5"/>
      <c r="O130" s="5"/>
      <c r="P130" s="5"/>
      <c r="Q130" s="5"/>
      <c r="R130" s="5"/>
      <c r="S130" s="5"/>
      <c r="T130" s="5"/>
      <c r="U130" s="2"/>
    </row>
    <row r="131" spans="1:21" x14ac:dyDescent="0.3">
      <c r="A131" s="2"/>
      <c r="B131" s="43" t="s">
        <v>48</v>
      </c>
      <c r="C131" s="43" t="s">
        <v>120</v>
      </c>
      <c r="D131" s="5"/>
      <c r="E131" s="5"/>
      <c r="F131" s="5"/>
      <c r="G131" s="5"/>
      <c r="H131" s="5"/>
      <c r="I131" s="5"/>
      <c r="J131" s="5"/>
      <c r="K131" s="5"/>
      <c r="L131" s="5"/>
      <c r="M131" s="5"/>
      <c r="N131" s="5"/>
      <c r="O131" s="5"/>
      <c r="P131" s="5"/>
      <c r="Q131" s="5"/>
      <c r="R131" s="5"/>
      <c r="S131" s="5"/>
      <c r="T131" s="5" t="s">
        <v>207</v>
      </c>
      <c r="U131" s="2"/>
    </row>
    <row r="132" spans="1:21" x14ac:dyDescent="0.3">
      <c r="A132" s="2"/>
      <c r="B132" s="43" t="s">
        <v>49</v>
      </c>
      <c r="C132" s="43" t="s">
        <v>120</v>
      </c>
      <c r="D132" s="5"/>
      <c r="E132" s="5"/>
      <c r="F132" s="5"/>
      <c r="G132" s="5"/>
      <c r="H132" s="5"/>
      <c r="I132" s="5"/>
      <c r="J132" s="5"/>
      <c r="K132" s="5"/>
      <c r="L132" s="5"/>
      <c r="M132" s="5"/>
      <c r="N132" s="5"/>
      <c r="O132" s="5"/>
      <c r="P132" s="5"/>
      <c r="Q132" s="5"/>
      <c r="R132" s="5"/>
      <c r="S132" s="5"/>
      <c r="T132" s="5" t="s">
        <v>207</v>
      </c>
      <c r="U132" s="2"/>
    </row>
    <row r="133" spans="1:21" x14ac:dyDescent="0.3">
      <c r="A133" s="2"/>
      <c r="B133" s="39" t="s">
        <v>50</v>
      </c>
      <c r="C133" s="39" t="s">
        <v>118</v>
      </c>
      <c r="D133" s="5"/>
      <c r="E133" s="5"/>
      <c r="F133" s="5"/>
      <c r="G133" s="5"/>
      <c r="H133" s="5"/>
      <c r="I133" s="5"/>
      <c r="J133" s="5"/>
      <c r="K133" s="5"/>
      <c r="L133" s="5"/>
      <c r="M133" s="5"/>
      <c r="N133" s="5"/>
      <c r="O133" s="5"/>
      <c r="P133" s="5"/>
      <c r="Q133" s="5"/>
      <c r="R133" s="5"/>
      <c r="S133" s="5"/>
      <c r="T133" s="5" t="s">
        <v>207</v>
      </c>
      <c r="U133" s="2"/>
    </row>
    <row r="134" spans="1:21" ht="21.6" x14ac:dyDescent="0.3">
      <c r="A134" s="7">
        <v>2</v>
      </c>
      <c r="B134" s="37" t="s">
        <v>119</v>
      </c>
      <c r="C134" s="37"/>
      <c r="D134" s="5"/>
      <c r="E134" s="5"/>
      <c r="F134" s="5"/>
      <c r="G134" s="5"/>
      <c r="H134" s="5"/>
      <c r="I134" s="5"/>
      <c r="J134" s="5"/>
      <c r="K134" s="5"/>
      <c r="L134" s="5"/>
      <c r="M134" s="5"/>
      <c r="N134" s="5"/>
      <c r="O134" s="5"/>
      <c r="P134" s="5"/>
      <c r="Q134" s="5"/>
      <c r="R134" s="5"/>
      <c r="S134" s="5"/>
      <c r="T134" s="5"/>
      <c r="U134" s="2"/>
    </row>
    <row r="135" spans="1:21" x14ac:dyDescent="0.3">
      <c r="A135" s="2"/>
      <c r="B135" s="58" t="s">
        <v>27</v>
      </c>
      <c r="C135" s="51" t="s">
        <v>118</v>
      </c>
      <c r="D135" s="5"/>
      <c r="E135" s="5"/>
      <c r="F135" s="5"/>
      <c r="G135" s="5"/>
      <c r="H135" s="5"/>
      <c r="I135" s="5"/>
      <c r="J135" s="5"/>
      <c r="K135" s="5"/>
      <c r="L135" s="5"/>
      <c r="M135" s="5"/>
      <c r="N135" s="5"/>
      <c r="O135" s="5"/>
      <c r="P135" s="5"/>
      <c r="Q135" s="5"/>
      <c r="R135" s="5"/>
      <c r="S135" s="5"/>
      <c r="T135" s="5"/>
      <c r="U135" s="2"/>
    </row>
    <row r="136" spans="1:21" x14ac:dyDescent="0.3">
      <c r="A136" s="2"/>
      <c r="B136" s="64" t="s">
        <v>4</v>
      </c>
      <c r="C136" s="52" t="s">
        <v>118</v>
      </c>
      <c r="D136" s="5">
        <v>826.12826958839958</v>
      </c>
      <c r="E136" s="5">
        <v>1081.4206051192068</v>
      </c>
      <c r="F136" s="5">
        <v>1358.4501301802036</v>
      </c>
      <c r="G136" s="5"/>
      <c r="H136" s="5"/>
      <c r="I136" s="5"/>
      <c r="J136" s="5"/>
      <c r="K136" s="5"/>
      <c r="L136" s="5"/>
      <c r="M136" s="5"/>
      <c r="N136" s="5"/>
      <c r="O136" s="5"/>
      <c r="P136" s="5"/>
      <c r="Q136" s="5"/>
      <c r="R136" s="5"/>
      <c r="S136" s="5"/>
      <c r="T136" s="5"/>
      <c r="U136" s="2"/>
    </row>
    <row r="137" spans="1:21" x14ac:dyDescent="0.3">
      <c r="A137" s="2"/>
      <c r="B137" s="64" t="s">
        <v>22</v>
      </c>
      <c r="C137" s="52" t="s">
        <v>118</v>
      </c>
      <c r="D137" s="5"/>
      <c r="E137" s="5"/>
      <c r="F137" s="5"/>
      <c r="G137" s="5"/>
      <c r="H137" s="5"/>
      <c r="I137" s="5"/>
      <c r="J137" s="5"/>
      <c r="K137" s="5"/>
      <c r="L137" s="5"/>
      <c r="M137" s="5"/>
      <c r="N137" s="5"/>
      <c r="O137" s="5"/>
      <c r="P137" s="5"/>
      <c r="Q137" s="5"/>
      <c r="R137" s="5"/>
      <c r="S137" s="5"/>
      <c r="T137" s="5" t="s">
        <v>206</v>
      </c>
      <c r="U137" s="2"/>
    </row>
    <row r="138" spans="1:21" x14ac:dyDescent="0.3">
      <c r="A138" s="2"/>
      <c r="B138" s="64" t="s">
        <v>24</v>
      </c>
      <c r="C138" s="52" t="s">
        <v>118</v>
      </c>
      <c r="D138" s="5">
        <v>826.12826958839958</v>
      </c>
      <c r="E138" s="5">
        <v>1081.4206051192068</v>
      </c>
      <c r="F138" s="5">
        <v>1358.4501301802036</v>
      </c>
      <c r="G138" s="5"/>
      <c r="H138" s="5"/>
      <c r="I138" s="5"/>
      <c r="J138" s="5"/>
      <c r="K138" s="5"/>
      <c r="L138" s="5"/>
      <c r="M138" s="5"/>
      <c r="N138" s="5"/>
      <c r="O138" s="5"/>
      <c r="P138" s="5"/>
      <c r="Q138" s="5"/>
      <c r="R138" s="5"/>
      <c r="S138" s="5"/>
      <c r="T138" s="5"/>
      <c r="U138" s="2"/>
    </row>
    <row r="139" spans="1:21" x14ac:dyDescent="0.3">
      <c r="A139" s="2"/>
      <c r="B139" s="64" t="s">
        <v>23</v>
      </c>
      <c r="C139" s="52" t="s">
        <v>118</v>
      </c>
      <c r="D139" s="5">
        <v>826.12826958839958</v>
      </c>
      <c r="E139" s="5">
        <v>1081.4206051192068</v>
      </c>
      <c r="F139" s="5">
        <v>1358.4501301802036</v>
      </c>
      <c r="G139" s="5"/>
      <c r="H139" s="5"/>
      <c r="I139" s="5"/>
      <c r="J139" s="5"/>
      <c r="K139" s="5"/>
      <c r="L139" s="5"/>
      <c r="M139" s="5"/>
      <c r="N139" s="5"/>
      <c r="O139" s="5"/>
      <c r="P139" s="5"/>
      <c r="Q139" s="5"/>
      <c r="R139" s="5"/>
      <c r="S139" s="5"/>
      <c r="T139" s="5"/>
      <c r="U139" s="2"/>
    </row>
    <row r="140" spans="1:21" x14ac:dyDescent="0.3">
      <c r="A140" s="2"/>
      <c r="B140" s="58" t="s">
        <v>26</v>
      </c>
      <c r="C140" s="51" t="s">
        <v>118</v>
      </c>
      <c r="D140" s="5"/>
      <c r="E140" s="5"/>
      <c r="F140" s="5"/>
      <c r="G140" s="5"/>
      <c r="H140" s="5"/>
      <c r="I140" s="5"/>
      <c r="J140" s="5"/>
      <c r="K140" s="5"/>
      <c r="L140" s="5"/>
      <c r="M140" s="5"/>
      <c r="N140" s="5"/>
      <c r="O140" s="5"/>
      <c r="P140" s="5"/>
      <c r="Q140" s="5"/>
      <c r="R140" s="5"/>
      <c r="S140" s="5"/>
      <c r="T140" s="5"/>
      <c r="U140" s="2"/>
    </row>
    <row r="141" spans="1:21" x14ac:dyDescent="0.3">
      <c r="A141" s="2"/>
      <c r="B141" s="64" t="s">
        <v>24</v>
      </c>
      <c r="C141" s="52" t="s">
        <v>118</v>
      </c>
      <c r="D141" s="5">
        <v>970.00015171579309</v>
      </c>
      <c r="E141" s="5">
        <v>1277.5835132483617</v>
      </c>
      <c r="F141" s="5">
        <v>1564.9832188102014</v>
      </c>
      <c r="G141" s="5"/>
      <c r="H141" s="5"/>
      <c r="I141" s="5"/>
      <c r="J141" s="5"/>
      <c r="K141" s="5"/>
      <c r="L141" s="5"/>
      <c r="M141" s="5"/>
      <c r="N141" s="5"/>
      <c r="O141" s="5"/>
      <c r="P141" s="5"/>
      <c r="Q141" s="5"/>
      <c r="R141" s="5"/>
      <c r="S141" s="5"/>
      <c r="T141" s="5"/>
      <c r="U141" s="2"/>
    </row>
    <row r="142" spans="1:21" x14ac:dyDescent="0.3">
      <c r="A142" s="2"/>
      <c r="B142" s="64" t="s">
        <v>23</v>
      </c>
      <c r="C142" s="52" t="s">
        <v>118</v>
      </c>
      <c r="D142" s="5">
        <v>970.00015171579309</v>
      </c>
      <c r="E142" s="5">
        <v>1277.5835132483617</v>
      </c>
      <c r="F142" s="5">
        <v>1564.9832188102014</v>
      </c>
      <c r="G142" s="5"/>
      <c r="H142" s="5"/>
      <c r="I142" s="5"/>
      <c r="J142" s="5"/>
      <c r="K142" s="5"/>
      <c r="L142" s="5"/>
      <c r="M142" s="5"/>
      <c r="N142" s="5"/>
      <c r="O142" s="5"/>
      <c r="P142" s="5"/>
      <c r="Q142" s="5"/>
      <c r="R142" s="5"/>
      <c r="S142" s="5"/>
      <c r="T142" s="5"/>
      <c r="U142" s="2"/>
    </row>
    <row r="143" spans="1:21" x14ac:dyDescent="0.3">
      <c r="A143" s="2"/>
      <c r="B143" s="58" t="s">
        <v>25</v>
      </c>
      <c r="C143" s="51" t="s">
        <v>118</v>
      </c>
      <c r="D143" s="5"/>
      <c r="E143" s="5"/>
      <c r="F143" s="5"/>
      <c r="G143" s="5"/>
      <c r="H143" s="5"/>
      <c r="I143" s="5"/>
      <c r="J143" s="5"/>
      <c r="K143" s="5"/>
      <c r="L143" s="5"/>
      <c r="M143" s="5"/>
      <c r="N143" s="5"/>
      <c r="O143" s="5"/>
      <c r="P143" s="5"/>
      <c r="Q143" s="5"/>
      <c r="R143" s="5"/>
      <c r="S143" s="5"/>
      <c r="T143" s="5"/>
      <c r="U143" s="2"/>
    </row>
    <row r="144" spans="1:21" x14ac:dyDescent="0.3">
      <c r="A144" s="2"/>
      <c r="B144" s="64" t="s">
        <v>4</v>
      </c>
      <c r="C144" s="52" t="s">
        <v>118</v>
      </c>
      <c r="D144" s="5"/>
      <c r="E144" s="5"/>
      <c r="F144" s="5"/>
      <c r="G144" s="5"/>
      <c r="H144" s="5"/>
      <c r="I144" s="5"/>
      <c r="J144" s="5"/>
      <c r="K144" s="5"/>
      <c r="L144" s="5"/>
      <c r="M144" s="5"/>
      <c r="N144" s="5"/>
      <c r="O144" s="5"/>
      <c r="P144" s="5"/>
      <c r="Q144" s="5"/>
      <c r="R144" s="5"/>
      <c r="S144" s="5"/>
      <c r="T144" s="5" t="s">
        <v>207</v>
      </c>
      <c r="U144" s="2"/>
    </row>
    <row r="145" spans="1:21" x14ac:dyDescent="0.3">
      <c r="A145" s="2"/>
      <c r="B145" s="64" t="s">
        <v>22</v>
      </c>
      <c r="C145" s="52" t="s">
        <v>118</v>
      </c>
      <c r="D145" s="5"/>
      <c r="E145" s="5"/>
      <c r="F145" s="5"/>
      <c r="G145" s="5"/>
      <c r="H145" s="5"/>
      <c r="I145" s="5"/>
      <c r="J145" s="5"/>
      <c r="K145" s="5"/>
      <c r="L145" s="5"/>
      <c r="M145" s="5"/>
      <c r="N145" s="5"/>
      <c r="O145" s="5"/>
      <c r="P145" s="5"/>
      <c r="Q145" s="5"/>
      <c r="R145" s="5"/>
      <c r="S145" s="5"/>
      <c r="T145" s="5" t="s">
        <v>208</v>
      </c>
      <c r="U145" s="2"/>
    </row>
    <row r="146" spans="1:21" ht="15.6" x14ac:dyDescent="0.3">
      <c r="A146" s="144" t="s">
        <v>28</v>
      </c>
      <c r="B146" s="144"/>
      <c r="C146" s="33"/>
      <c r="D146" s="110"/>
      <c r="E146" s="5"/>
      <c r="F146" s="5"/>
      <c r="G146" s="5"/>
      <c r="H146" s="5"/>
      <c r="I146" s="5"/>
      <c r="J146" s="5"/>
      <c r="K146" s="5"/>
      <c r="L146" s="5"/>
      <c r="M146" s="5"/>
      <c r="N146" s="5"/>
      <c r="O146" s="5"/>
      <c r="P146" s="5"/>
      <c r="Q146" s="5"/>
      <c r="R146" s="5"/>
      <c r="S146" s="5"/>
      <c r="T146" s="5"/>
      <c r="U146" s="2"/>
    </row>
    <row r="147" spans="1:21" x14ac:dyDescent="0.3">
      <c r="A147" s="2"/>
      <c r="B147" s="39" t="s">
        <v>124</v>
      </c>
      <c r="C147" s="39" t="s">
        <v>121</v>
      </c>
      <c r="D147" s="110"/>
      <c r="E147" s="5"/>
      <c r="F147" s="5"/>
      <c r="G147" s="5"/>
      <c r="H147" s="5"/>
      <c r="I147" s="5"/>
      <c r="J147" s="5"/>
      <c r="K147" s="5"/>
      <c r="L147" s="5"/>
      <c r="M147" s="5"/>
      <c r="N147" s="5"/>
      <c r="O147" s="5"/>
      <c r="P147" s="5"/>
      <c r="Q147" s="5"/>
      <c r="R147" s="5"/>
      <c r="S147" s="5"/>
      <c r="T147" s="5"/>
      <c r="U147" s="2"/>
    </row>
    <row r="148" spans="1:21" x14ac:dyDescent="0.3">
      <c r="A148" s="2"/>
      <c r="B148" s="39" t="s">
        <v>123</v>
      </c>
      <c r="C148" s="39" t="s">
        <v>122</v>
      </c>
      <c r="D148" s="110"/>
      <c r="E148" s="5"/>
      <c r="F148" s="5"/>
      <c r="G148" s="5"/>
      <c r="H148" s="5"/>
      <c r="I148" s="5"/>
      <c r="J148" s="5"/>
      <c r="K148" s="5"/>
      <c r="L148" s="5"/>
      <c r="M148" s="5"/>
      <c r="N148" s="5"/>
      <c r="O148" s="5"/>
      <c r="P148" s="5"/>
      <c r="Q148" s="5"/>
      <c r="R148" s="5"/>
      <c r="S148" s="5"/>
      <c r="T148" s="5"/>
      <c r="U148" s="2"/>
    </row>
    <row r="149" spans="1:21" ht="15.6" x14ac:dyDescent="0.3">
      <c r="A149" s="144" t="s">
        <v>29</v>
      </c>
      <c r="B149" s="144"/>
      <c r="C149" s="33"/>
      <c r="D149" s="5"/>
      <c r="E149" s="5"/>
      <c r="F149" s="5"/>
      <c r="G149" s="5"/>
      <c r="H149" s="5"/>
      <c r="I149" s="5"/>
      <c r="J149" s="5"/>
      <c r="K149" s="5"/>
      <c r="L149" s="5"/>
      <c r="M149" s="5"/>
      <c r="N149" s="5"/>
      <c r="O149" s="5"/>
      <c r="P149" s="5"/>
      <c r="Q149" s="5"/>
      <c r="R149" s="5"/>
      <c r="S149" s="5"/>
      <c r="T149" s="5"/>
      <c r="U149" s="2"/>
    </row>
    <row r="150" spans="1:21" ht="63.75" customHeight="1" x14ac:dyDescent="0.3">
      <c r="A150" s="18">
        <v>1</v>
      </c>
      <c r="B150" s="25" t="s">
        <v>30</v>
      </c>
      <c r="C150" s="16"/>
      <c r="D150" s="110"/>
      <c r="E150" s="5"/>
      <c r="F150" s="5"/>
      <c r="G150" s="5"/>
      <c r="H150" s="5"/>
      <c r="I150" s="5"/>
      <c r="J150" s="5"/>
      <c r="K150" s="5"/>
      <c r="L150" s="5"/>
      <c r="M150" s="5"/>
      <c r="N150" s="5"/>
      <c r="O150" s="5"/>
      <c r="P150" s="5"/>
      <c r="Q150" s="5"/>
      <c r="R150" s="5"/>
      <c r="S150" s="5"/>
      <c r="T150" s="5"/>
      <c r="U150" s="2"/>
    </row>
    <row r="151" spans="1:21" x14ac:dyDescent="0.3">
      <c r="A151" s="2"/>
      <c r="B151" s="40" t="s">
        <v>125</v>
      </c>
      <c r="C151" s="71" t="s">
        <v>105</v>
      </c>
      <c r="D151" s="116">
        <v>0.23785887682973117</v>
      </c>
      <c r="E151" s="116">
        <v>0.25110960922725079</v>
      </c>
      <c r="F151" s="116">
        <v>0.28980740277486033</v>
      </c>
      <c r="G151" s="117">
        <v>0.28599999999999998</v>
      </c>
      <c r="H151" s="117">
        <v>0.29379999999999995</v>
      </c>
      <c r="I151" s="117">
        <v>0.30159999999999998</v>
      </c>
      <c r="J151" s="117">
        <v>0.30940000000000001</v>
      </c>
      <c r="K151" s="117">
        <v>0.31720000000000004</v>
      </c>
      <c r="L151" s="117">
        <v>0.32500000000000007</v>
      </c>
      <c r="M151" s="117">
        <v>0.3328000000000001</v>
      </c>
      <c r="N151" s="117">
        <v>0.34060000000000012</v>
      </c>
      <c r="O151" s="117">
        <v>0.34840000000000015</v>
      </c>
      <c r="P151" s="117">
        <v>0.35620000000000018</v>
      </c>
      <c r="Q151" s="117">
        <v>0.36399999999999999</v>
      </c>
      <c r="R151" s="117">
        <v>0.40268599999999999</v>
      </c>
      <c r="S151" s="117">
        <v>0.44137199999999999</v>
      </c>
      <c r="T151" s="5"/>
      <c r="U151" s="82" t="s">
        <v>174</v>
      </c>
    </row>
    <row r="152" spans="1:21" x14ac:dyDescent="0.3">
      <c r="A152" s="2"/>
      <c r="B152" s="43" t="s">
        <v>91</v>
      </c>
      <c r="C152" s="72" t="s">
        <v>105</v>
      </c>
      <c r="D152" s="116">
        <v>0.30035236369568635</v>
      </c>
      <c r="E152" s="116">
        <v>0.32798391971275331</v>
      </c>
      <c r="F152" s="116">
        <v>0.38542652590285387</v>
      </c>
      <c r="G152" s="117">
        <v>0.33300000000000002</v>
      </c>
      <c r="H152" s="117">
        <v>0.33630000000000004</v>
      </c>
      <c r="I152" s="117">
        <v>0.33960000000000001</v>
      </c>
      <c r="J152" s="117">
        <v>0.34289999999999998</v>
      </c>
      <c r="K152" s="117">
        <v>0.34619999999999995</v>
      </c>
      <c r="L152" s="117">
        <v>0.34949999999999992</v>
      </c>
      <c r="M152" s="117">
        <v>0.35279999999999989</v>
      </c>
      <c r="N152" s="117">
        <v>0.35609999999999986</v>
      </c>
      <c r="O152" s="117">
        <v>0.35939999999999983</v>
      </c>
      <c r="P152" s="117">
        <v>0.3626999999999998</v>
      </c>
      <c r="Q152" s="117">
        <v>0.36599999999999999</v>
      </c>
      <c r="R152" s="117">
        <v>0.36052835343617334</v>
      </c>
      <c r="S152" s="117">
        <v>0.35505670687234669</v>
      </c>
      <c r="T152" s="5"/>
      <c r="U152" s="82" t="s">
        <v>174</v>
      </c>
    </row>
    <row r="153" spans="1:21" x14ac:dyDescent="0.3">
      <c r="A153" s="2"/>
      <c r="B153" s="43" t="s">
        <v>92</v>
      </c>
      <c r="C153" s="72" t="s">
        <v>105</v>
      </c>
      <c r="D153" s="116">
        <v>0.35642742505015601</v>
      </c>
      <c r="E153" s="116">
        <v>0.37550971308956116</v>
      </c>
      <c r="F153" s="116">
        <v>0.45447883954880741</v>
      </c>
      <c r="G153" s="117">
        <v>0.47</v>
      </c>
      <c r="H153" s="117">
        <v>0.48683163972417914</v>
      </c>
      <c r="I153" s="117">
        <v>0.50366327944835831</v>
      </c>
      <c r="J153" s="117">
        <v>0.52049491917253754</v>
      </c>
      <c r="K153" s="117">
        <v>0.53732655889671677</v>
      </c>
      <c r="L153" s="117">
        <v>0.55415819862089599</v>
      </c>
      <c r="M153" s="117">
        <v>0.57098983834507522</v>
      </c>
      <c r="N153" s="117">
        <v>0.58782147806925444</v>
      </c>
      <c r="O153" s="117">
        <v>0.60465311779343367</v>
      </c>
      <c r="P153" s="117">
        <v>0.6214847575176129</v>
      </c>
      <c r="Q153" s="117">
        <v>0.6383163972417919</v>
      </c>
      <c r="R153" s="117">
        <v>0.71431086386474485</v>
      </c>
      <c r="S153" s="117">
        <v>0.79030533048769791</v>
      </c>
      <c r="T153" s="5"/>
      <c r="U153" s="82" t="s">
        <v>174</v>
      </c>
    </row>
    <row r="154" spans="1:21" x14ac:dyDescent="0.3">
      <c r="A154" s="2"/>
      <c r="B154" s="43" t="s">
        <v>184</v>
      </c>
      <c r="C154" s="72" t="s">
        <v>105</v>
      </c>
      <c r="D154" s="116">
        <v>1.0369352164800687E-2</v>
      </c>
      <c r="E154" s="116">
        <v>1.1302083775592877E-2</v>
      </c>
      <c r="F154" s="116">
        <v>3.581715644195288E-2</v>
      </c>
      <c r="G154" s="118">
        <v>5.2113753831380498E-2</v>
      </c>
      <c r="H154" s="118">
        <v>5.3608297348412312E-2</v>
      </c>
      <c r="I154" s="118">
        <v>5.7228726666057321E-2</v>
      </c>
      <c r="J154" s="118">
        <v>6.0405811347419916E-2</v>
      </c>
      <c r="K154" s="118">
        <v>6.4739495927743099E-2</v>
      </c>
      <c r="L154" s="118">
        <v>7.0958325777997044E-2</v>
      </c>
      <c r="M154" s="118">
        <v>7.740139164177684E-2</v>
      </c>
      <c r="N154" s="118">
        <v>8.5799638439394324E-2</v>
      </c>
      <c r="O154" s="118">
        <v>9.6910960219046591E-2</v>
      </c>
      <c r="P154" s="118">
        <v>0.11180617413928826</v>
      </c>
      <c r="Q154" s="118">
        <v>0.13199999999999998</v>
      </c>
      <c r="R154" s="116">
        <v>0.18843581729401557</v>
      </c>
      <c r="S154" s="116">
        <v>0.24487163458803116</v>
      </c>
      <c r="T154" s="5"/>
      <c r="U154" s="82" t="s">
        <v>185</v>
      </c>
    </row>
    <row r="155" spans="1:21" ht="27.9" customHeight="1" x14ac:dyDescent="0.3">
      <c r="A155" s="2"/>
      <c r="B155" s="98" t="s">
        <v>195</v>
      </c>
      <c r="C155" s="95" t="s">
        <v>105</v>
      </c>
      <c r="D155" s="116">
        <f>D162/D58</f>
        <v>1.9001129231790267E-3</v>
      </c>
      <c r="E155" s="116">
        <f t="shared" ref="E155:S155" si="13">E162/E58</f>
        <v>2.2614518914685967E-3</v>
      </c>
      <c r="F155" s="116">
        <f t="shared" si="13"/>
        <v>8.0966832167071838E-3</v>
      </c>
      <c r="G155" s="116">
        <f>G162/G58</f>
        <v>8.0240482652807216E-3</v>
      </c>
      <c r="H155" s="116">
        <f t="shared" si="13"/>
        <v>8.2953732554280537E-3</v>
      </c>
      <c r="I155" s="116">
        <f t="shared" si="13"/>
        <v>8.6864608033953503E-3</v>
      </c>
      <c r="J155" s="116">
        <f t="shared" si="13"/>
        <v>9.1466851338484877E-3</v>
      </c>
      <c r="K155" s="116">
        <f t="shared" si="13"/>
        <v>9.7359726583524254E-3</v>
      </c>
      <c r="L155" s="116">
        <f t="shared" si="13"/>
        <v>1.0537608204521902E-2</v>
      </c>
      <c r="M155" s="116">
        <f t="shared" si="13"/>
        <v>1.1352580310858368E-2</v>
      </c>
      <c r="N155" s="116">
        <f t="shared" si="13"/>
        <v>1.2381965943727501E-2</v>
      </c>
      <c r="O155" s="116">
        <f t="shared" si="13"/>
        <v>1.3709414529464175E-2</v>
      </c>
      <c r="P155" s="116">
        <f t="shared" si="13"/>
        <v>1.5452731176593895E-2</v>
      </c>
      <c r="Q155" s="116">
        <f t="shared" si="13"/>
        <v>1.7777930141087261E-2</v>
      </c>
      <c r="R155" s="116">
        <f t="shared" si="13"/>
        <v>2.4295807338439473E-2</v>
      </c>
      <c r="S155" s="116">
        <f t="shared" si="13"/>
        <v>3.1167907096960268E-2</v>
      </c>
      <c r="T155" s="5"/>
      <c r="U155" s="82" t="s">
        <v>186</v>
      </c>
    </row>
    <row r="156" spans="1:21" ht="21.6" x14ac:dyDescent="0.3">
      <c r="A156" s="2"/>
      <c r="B156" s="98" t="s">
        <v>187</v>
      </c>
      <c r="C156" s="95" t="s">
        <v>105</v>
      </c>
      <c r="D156" s="116">
        <v>0</v>
      </c>
      <c r="E156" s="118">
        <v>0</v>
      </c>
      <c r="F156" s="118">
        <v>0</v>
      </c>
      <c r="G156" s="118">
        <v>0</v>
      </c>
      <c r="H156" s="118">
        <v>0</v>
      </c>
      <c r="I156" s="118">
        <v>2E-3</v>
      </c>
      <c r="J156" s="118">
        <v>3.4199518933533948E-3</v>
      </c>
      <c r="K156" s="118">
        <v>5.8480354764257345E-3</v>
      </c>
      <c r="L156" s="118">
        <v>1.0000000000000007E-2</v>
      </c>
      <c r="M156" s="118">
        <v>1.4201016778441142E-2</v>
      </c>
      <c r="N156" s="118">
        <v>2.0166887754156669E-2</v>
      </c>
      <c r="O156" s="118">
        <v>2.863903113657178E-2</v>
      </c>
      <c r="P156" s="118">
        <v>4.0670336168875387E-2</v>
      </c>
      <c r="Q156" s="118">
        <v>5.7756012631904052E-2</v>
      </c>
      <c r="R156" s="118">
        <v>9.0591872529436401E-2</v>
      </c>
      <c r="S156" s="118">
        <v>0.12342773242696876</v>
      </c>
      <c r="T156" s="5"/>
      <c r="U156" s="82" t="s">
        <v>174</v>
      </c>
    </row>
    <row r="157" spans="1:21" ht="21.6" x14ac:dyDescent="0.3">
      <c r="A157" s="2"/>
      <c r="B157" s="98" t="s">
        <v>188</v>
      </c>
      <c r="C157" s="95" t="s">
        <v>105</v>
      </c>
      <c r="D157" s="116">
        <v>0</v>
      </c>
      <c r="E157" s="118">
        <v>0</v>
      </c>
      <c r="F157" s="118">
        <v>0</v>
      </c>
      <c r="G157" s="118">
        <v>3.400000000000003E-2</v>
      </c>
      <c r="H157" s="118">
        <v>3.400000000000003E-2</v>
      </c>
      <c r="I157" s="118">
        <v>3.400000000000003E-2</v>
      </c>
      <c r="J157" s="118">
        <v>3.400000000000003E-2</v>
      </c>
      <c r="K157" s="118">
        <v>3.400000000000003E-2</v>
      </c>
      <c r="L157" s="118">
        <v>3.400000000000003E-2</v>
      </c>
      <c r="M157" s="118">
        <v>3.400000000000003E-2</v>
      </c>
      <c r="N157" s="118">
        <v>3.400000000000003E-2</v>
      </c>
      <c r="O157" s="118">
        <v>3.400000000000003E-2</v>
      </c>
      <c r="P157" s="118">
        <v>3.400000000000003E-2</v>
      </c>
      <c r="Q157" s="118">
        <v>3.400000000000003E-2</v>
      </c>
      <c r="R157" s="118">
        <v>3.400000000000003E-2</v>
      </c>
      <c r="S157" s="118">
        <v>3.400000000000003E-2</v>
      </c>
      <c r="T157" s="5"/>
      <c r="U157" s="82" t="s">
        <v>174</v>
      </c>
    </row>
    <row r="158" spans="1:21" ht="21.6" x14ac:dyDescent="0.3">
      <c r="A158" s="2"/>
      <c r="B158" s="98" t="s">
        <v>189</v>
      </c>
      <c r="C158" s="95" t="s">
        <v>105</v>
      </c>
      <c r="D158" s="116">
        <v>1.0369352164800687E-2</v>
      </c>
      <c r="E158" s="118">
        <v>1.1302083775592877E-2</v>
      </c>
      <c r="F158" s="118">
        <v>3.581715644195288E-2</v>
      </c>
      <c r="G158" s="118">
        <v>9.9999999999999881E-3</v>
      </c>
      <c r="H158" s="118">
        <v>1.0717734625362919E-2</v>
      </c>
      <c r="I158" s="118">
        <v>1.1486983549970338E-2</v>
      </c>
      <c r="J158" s="118">
        <v>1.2311444133449152E-2</v>
      </c>
      <c r="K158" s="118">
        <v>1.3195079107728935E-2</v>
      </c>
      <c r="L158" s="118">
        <v>1.4142135623730944E-2</v>
      </c>
      <c r="M158" s="118">
        <v>1.5157165665103976E-2</v>
      </c>
      <c r="N158" s="118">
        <v>1.6245047927124709E-2</v>
      </c>
      <c r="O158" s="118">
        <v>1.7411011265922482E-2</v>
      </c>
      <c r="P158" s="118">
        <v>1.866065983073615E-2</v>
      </c>
      <c r="Q158" s="118">
        <v>2.0000000000000004E-2</v>
      </c>
      <c r="R158" s="118">
        <v>2.0000000000000004E-2</v>
      </c>
      <c r="S158" s="118">
        <v>2.0000000000000004E-2</v>
      </c>
      <c r="T158" s="5"/>
      <c r="U158" s="82" t="s">
        <v>174</v>
      </c>
    </row>
    <row r="159" spans="1:21" x14ac:dyDescent="0.3">
      <c r="A159" s="2"/>
      <c r="B159" s="98" t="s">
        <v>190</v>
      </c>
      <c r="C159" s="95" t="s">
        <v>105</v>
      </c>
      <c r="D159" s="116">
        <v>0</v>
      </c>
      <c r="E159" s="118">
        <v>0</v>
      </c>
      <c r="F159" s="118">
        <v>0</v>
      </c>
      <c r="G159" s="118">
        <v>0</v>
      </c>
      <c r="H159" s="118">
        <v>0</v>
      </c>
      <c r="I159" s="118">
        <v>0</v>
      </c>
      <c r="J159" s="118">
        <v>0</v>
      </c>
      <c r="K159" s="118">
        <v>0</v>
      </c>
      <c r="L159" s="118">
        <v>0</v>
      </c>
      <c r="M159" s="118">
        <v>0</v>
      </c>
      <c r="N159" s="118">
        <v>0</v>
      </c>
      <c r="O159" s="118">
        <v>0</v>
      </c>
      <c r="P159" s="118">
        <v>0</v>
      </c>
      <c r="Q159" s="118">
        <v>0</v>
      </c>
      <c r="R159" s="118">
        <v>0</v>
      </c>
      <c r="S159" s="118">
        <v>0</v>
      </c>
      <c r="T159" s="5"/>
      <c r="U159" s="82" t="s">
        <v>174</v>
      </c>
    </row>
    <row r="160" spans="1:21" x14ac:dyDescent="0.3">
      <c r="A160" s="2"/>
      <c r="B160" s="43" t="s">
        <v>126</v>
      </c>
      <c r="C160" s="73" t="s">
        <v>103</v>
      </c>
      <c r="D160" s="119">
        <v>1250.6162224132988</v>
      </c>
      <c r="E160" s="119">
        <v>1269.4325021496131</v>
      </c>
      <c r="F160" s="119">
        <v>1251.1734976593102</v>
      </c>
      <c r="G160" s="115">
        <v>1181.6905677686693</v>
      </c>
      <c r="H160" s="115">
        <v>1197.8223278976191</v>
      </c>
      <c r="I160" s="115">
        <v>1213.9540880265688</v>
      </c>
      <c r="J160" s="115">
        <v>1230.0858481555185</v>
      </c>
      <c r="K160" s="115">
        <v>1246.2176082844683</v>
      </c>
      <c r="L160" s="115">
        <v>1262.349368413418</v>
      </c>
      <c r="M160" s="115">
        <v>1278.4811285423677</v>
      </c>
      <c r="N160" s="115">
        <v>1294.6128886713175</v>
      </c>
      <c r="O160" s="115">
        <v>1310.7446488002672</v>
      </c>
      <c r="P160" s="115">
        <v>1326.876408929217</v>
      </c>
      <c r="Q160" s="115">
        <v>1343.0081690581669</v>
      </c>
      <c r="R160" s="115">
        <v>1237.9237264479827</v>
      </c>
      <c r="S160" s="115">
        <v>1132.8392838377986</v>
      </c>
      <c r="T160" s="5"/>
      <c r="U160" s="2"/>
    </row>
    <row r="161" spans="1:21" x14ac:dyDescent="0.3">
      <c r="A161" s="2"/>
      <c r="B161" s="43" t="s">
        <v>127</v>
      </c>
      <c r="C161" s="73" t="s">
        <v>103</v>
      </c>
      <c r="D161" s="119">
        <v>535.28472965829963</v>
      </c>
      <c r="E161" s="119">
        <v>605.85247260640813</v>
      </c>
      <c r="F161" s="119">
        <v>704.46174037371895</v>
      </c>
      <c r="G161" s="115">
        <v>776.02306320620198</v>
      </c>
      <c r="H161" s="115">
        <v>810.70234099372988</v>
      </c>
      <c r="I161" s="115">
        <v>845.38161878125766</v>
      </c>
      <c r="J161" s="115">
        <v>880.06089656878544</v>
      </c>
      <c r="K161" s="115">
        <v>914.74017435631322</v>
      </c>
      <c r="L161" s="115">
        <v>949.419452143841</v>
      </c>
      <c r="M161" s="115">
        <v>984.09872993136878</v>
      </c>
      <c r="N161" s="115">
        <v>1018.7780077188966</v>
      </c>
      <c r="O161" s="115">
        <v>1053.4572855064243</v>
      </c>
      <c r="P161" s="115">
        <v>1088.1365632939521</v>
      </c>
      <c r="Q161" s="115">
        <v>1122.8158410814804</v>
      </c>
      <c r="R161" s="115">
        <v>1313.3883973288112</v>
      </c>
      <c r="S161" s="115">
        <v>1503.9609535761419</v>
      </c>
      <c r="T161" s="5"/>
      <c r="U161" s="2"/>
    </row>
    <row r="162" spans="1:21" x14ac:dyDescent="0.3">
      <c r="A162" s="2"/>
      <c r="B162" s="43" t="s">
        <v>128</v>
      </c>
      <c r="C162" s="73" t="s">
        <v>103</v>
      </c>
      <c r="D162" s="119">
        <v>18.586188645743029</v>
      </c>
      <c r="E162" s="119">
        <v>21.318294531112272</v>
      </c>
      <c r="F162" s="119">
        <v>69.012292508927473</v>
      </c>
      <c r="G162" s="115">
        <v>68.374080884597447</v>
      </c>
      <c r="H162" s="115">
        <v>70.895525596629156</v>
      </c>
      <c r="I162" s="115">
        <v>74.457270078118341</v>
      </c>
      <c r="J162" s="115">
        <v>78.633128507434805</v>
      </c>
      <c r="K162" s="115">
        <v>83.945033160784462</v>
      </c>
      <c r="L162" s="115">
        <v>91.12295919097501</v>
      </c>
      <c r="M162" s="115">
        <v>98.457035509998036</v>
      </c>
      <c r="N162" s="115">
        <v>107.69722176661952</v>
      </c>
      <c r="O162" s="115">
        <v>119.58944903183496</v>
      </c>
      <c r="P162" s="115">
        <v>135.18690594623595</v>
      </c>
      <c r="Q162" s="115">
        <v>155.97771600426501</v>
      </c>
      <c r="R162" s="115">
        <v>207.65836035910723</v>
      </c>
      <c r="S162" s="115">
        <v>259.33900471394901</v>
      </c>
      <c r="T162" s="5"/>
      <c r="U162" s="2"/>
    </row>
    <row r="163" spans="1:21" x14ac:dyDescent="0.3">
      <c r="A163" s="2"/>
      <c r="B163" s="43" t="s">
        <v>129</v>
      </c>
      <c r="C163" s="73" t="s">
        <v>103</v>
      </c>
      <c r="D163" s="119">
        <v>1804.4871407173416</v>
      </c>
      <c r="E163" s="119">
        <v>1896.6032692871336</v>
      </c>
      <c r="F163" s="119">
        <v>2024.6475305419565</v>
      </c>
      <c r="G163" s="119">
        <v>2026.0877118594685</v>
      </c>
      <c r="H163" s="119">
        <v>2079.4201944879783</v>
      </c>
      <c r="I163" s="119">
        <v>2133.7929768859449</v>
      </c>
      <c r="J163" s="119">
        <v>2188.7798732317387</v>
      </c>
      <c r="K163" s="119">
        <v>2244.9028158015658</v>
      </c>
      <c r="L163" s="119">
        <v>2302.8917797482341</v>
      </c>
      <c r="M163" s="119">
        <v>2361.0368939837349</v>
      </c>
      <c r="N163" s="119">
        <v>2421.0881181568334</v>
      </c>
      <c r="O163" s="119">
        <v>2483.7913833385264</v>
      </c>
      <c r="P163" s="119">
        <v>2550.1998781694051</v>
      </c>
      <c r="Q163" s="119">
        <v>2621.8017261439122</v>
      </c>
      <c r="R163" s="119">
        <v>2758.9704841359007</v>
      </c>
      <c r="S163" s="119">
        <v>2896.1392421278897</v>
      </c>
      <c r="T163" s="5"/>
      <c r="U163" s="2"/>
    </row>
    <row r="164" spans="1:21" ht="21.6" x14ac:dyDescent="0.3">
      <c r="A164" s="2"/>
      <c r="B164" s="96" t="s">
        <v>191</v>
      </c>
      <c r="C164" s="95" t="s">
        <v>103</v>
      </c>
      <c r="D164" s="110"/>
      <c r="E164" s="5"/>
      <c r="F164" s="5"/>
      <c r="G164" s="5"/>
      <c r="H164" s="5"/>
      <c r="I164" s="5"/>
      <c r="J164" s="5"/>
      <c r="K164" s="5"/>
      <c r="L164" s="5"/>
      <c r="M164" s="5"/>
      <c r="N164" s="5"/>
      <c r="O164" s="5"/>
      <c r="P164" s="5"/>
      <c r="Q164" s="5"/>
      <c r="R164" s="5"/>
      <c r="S164" s="5"/>
      <c r="T164" s="5"/>
      <c r="U164" s="82" t="s">
        <v>181</v>
      </c>
    </row>
    <row r="165" spans="1:21" ht="21.6" x14ac:dyDescent="0.3">
      <c r="A165" s="2"/>
      <c r="B165" s="96" t="s">
        <v>192</v>
      </c>
      <c r="C165" s="95" t="s">
        <v>105</v>
      </c>
      <c r="D165" s="110"/>
      <c r="E165" s="5"/>
      <c r="F165" s="5"/>
      <c r="G165" s="5"/>
      <c r="H165" s="5"/>
      <c r="I165" s="5"/>
      <c r="J165" s="5"/>
      <c r="K165" s="5"/>
      <c r="L165" s="5"/>
      <c r="M165" s="5"/>
      <c r="N165" s="5"/>
      <c r="O165" s="5"/>
      <c r="P165" s="5"/>
      <c r="Q165" s="5"/>
      <c r="R165" s="5"/>
      <c r="S165" s="5"/>
      <c r="T165" s="5"/>
      <c r="U165" s="82" t="s">
        <v>181</v>
      </c>
    </row>
    <row r="166" spans="1:21" ht="18.75" customHeight="1" x14ac:dyDescent="0.3">
      <c r="A166" s="2"/>
      <c r="B166" s="96" t="s">
        <v>193</v>
      </c>
      <c r="C166" s="95" t="s">
        <v>103</v>
      </c>
      <c r="D166" s="110"/>
      <c r="E166" s="5"/>
      <c r="F166" s="5"/>
      <c r="G166" s="5"/>
      <c r="H166" s="5"/>
      <c r="I166" s="5"/>
      <c r="J166" s="5"/>
      <c r="K166" s="5"/>
      <c r="L166" s="5"/>
      <c r="M166" s="5"/>
      <c r="N166" s="5"/>
      <c r="O166" s="5"/>
      <c r="P166" s="5"/>
      <c r="Q166" s="5"/>
      <c r="R166" s="5"/>
      <c r="S166" s="5"/>
      <c r="T166" s="5"/>
      <c r="U166" s="82" t="s">
        <v>174</v>
      </c>
    </row>
    <row r="167" spans="1:21" ht="29.25" customHeight="1" x14ac:dyDescent="0.3">
      <c r="A167" s="2"/>
      <c r="B167" s="99" t="s">
        <v>197</v>
      </c>
      <c r="C167" s="95" t="s">
        <v>105</v>
      </c>
      <c r="D167" s="110"/>
      <c r="E167" s="5"/>
      <c r="F167" s="5"/>
      <c r="G167" s="5"/>
      <c r="H167" s="5"/>
      <c r="I167" s="5"/>
      <c r="J167" s="5"/>
      <c r="K167" s="5"/>
      <c r="L167" s="5"/>
      <c r="M167" s="5"/>
      <c r="N167" s="5"/>
      <c r="O167" s="5"/>
      <c r="P167" s="5"/>
      <c r="Q167" s="5"/>
      <c r="R167" s="5"/>
      <c r="S167" s="5"/>
      <c r="T167" s="5"/>
      <c r="U167" s="82" t="s">
        <v>174</v>
      </c>
    </row>
    <row r="168" spans="1:21" ht="22.5" customHeight="1" x14ac:dyDescent="0.3">
      <c r="A168" s="2"/>
      <c r="B168" s="96" t="s">
        <v>194</v>
      </c>
      <c r="C168" s="95" t="s">
        <v>103</v>
      </c>
      <c r="D168" s="110"/>
      <c r="E168" s="5"/>
      <c r="F168" s="5"/>
      <c r="G168" s="5"/>
      <c r="H168" s="5"/>
      <c r="I168" s="5"/>
      <c r="J168" s="5"/>
      <c r="K168" s="5"/>
      <c r="L168" s="5"/>
      <c r="M168" s="5"/>
      <c r="N168" s="5"/>
      <c r="O168" s="5"/>
      <c r="P168" s="5"/>
      <c r="Q168" s="5"/>
      <c r="R168" s="5"/>
      <c r="S168" s="5"/>
      <c r="T168" s="5"/>
      <c r="U168" s="82" t="s">
        <v>174</v>
      </c>
    </row>
    <row r="169" spans="1:21" ht="27" customHeight="1" x14ac:dyDescent="0.3">
      <c r="A169" s="2"/>
      <c r="B169" s="99" t="s">
        <v>196</v>
      </c>
      <c r="C169" s="95" t="s">
        <v>105</v>
      </c>
      <c r="D169" s="110"/>
      <c r="E169" s="5"/>
      <c r="F169" s="5"/>
      <c r="G169" s="5"/>
      <c r="H169" s="5"/>
      <c r="I169" s="5"/>
      <c r="J169" s="5"/>
      <c r="K169" s="5"/>
      <c r="L169" s="5"/>
      <c r="M169" s="5"/>
      <c r="N169" s="5"/>
      <c r="O169" s="5"/>
      <c r="P169" s="5"/>
      <c r="Q169" s="5"/>
      <c r="R169" s="5"/>
      <c r="S169" s="5"/>
      <c r="T169" s="5"/>
      <c r="U169" s="82" t="s">
        <v>174</v>
      </c>
    </row>
    <row r="170" spans="1:21" ht="124.5" customHeight="1" x14ac:dyDescent="0.3">
      <c r="A170" s="18">
        <v>2</v>
      </c>
      <c r="B170" s="25" t="s">
        <v>176</v>
      </c>
      <c r="C170" s="20"/>
      <c r="D170" s="110"/>
      <c r="E170" s="110"/>
      <c r="F170" s="110"/>
      <c r="G170" s="110"/>
      <c r="H170" s="110"/>
      <c r="I170" s="110"/>
      <c r="J170" s="110"/>
      <c r="K170" s="110"/>
      <c r="L170" s="110"/>
      <c r="M170" s="110"/>
      <c r="N170" s="110"/>
      <c r="O170" s="110"/>
      <c r="P170" s="110"/>
      <c r="Q170" s="110"/>
      <c r="R170" s="110"/>
      <c r="S170" s="110"/>
      <c r="T170" s="5"/>
      <c r="U170" s="82" t="s">
        <v>175</v>
      </c>
    </row>
    <row r="171" spans="1:21" ht="94.5" customHeight="1" x14ac:dyDescent="0.3">
      <c r="A171" s="18">
        <v>3</v>
      </c>
      <c r="B171" s="25" t="s">
        <v>31</v>
      </c>
      <c r="C171" s="20"/>
      <c r="D171" s="5"/>
      <c r="E171" s="5"/>
      <c r="F171" s="5"/>
      <c r="G171" s="5"/>
      <c r="H171" s="5"/>
      <c r="I171" s="5"/>
      <c r="J171" s="5"/>
      <c r="K171" s="5"/>
      <c r="L171" s="5"/>
      <c r="M171" s="5"/>
      <c r="N171" s="5"/>
      <c r="O171" s="5"/>
      <c r="P171" s="5"/>
      <c r="Q171" s="5"/>
      <c r="R171" s="5"/>
      <c r="S171" s="5"/>
      <c r="T171" s="5"/>
      <c r="U171" s="82" t="s">
        <v>175</v>
      </c>
    </row>
    <row r="172" spans="1:21" x14ac:dyDescent="0.3">
      <c r="A172" s="8"/>
      <c r="B172" s="53"/>
      <c r="C172" s="53"/>
      <c r="D172" s="5"/>
      <c r="E172" s="5"/>
      <c r="F172" s="5"/>
      <c r="G172" s="5"/>
      <c r="H172" s="5"/>
      <c r="I172" s="5"/>
      <c r="J172" s="5"/>
      <c r="K172" s="5"/>
      <c r="L172" s="5"/>
      <c r="M172" s="5"/>
      <c r="N172" s="5"/>
      <c r="O172" s="5"/>
      <c r="P172" s="5"/>
      <c r="Q172" s="5"/>
      <c r="R172" s="5"/>
      <c r="S172" s="5"/>
      <c r="T172" s="5"/>
      <c r="U172" s="2"/>
    </row>
    <row r="173" spans="1:21" ht="15.6" x14ac:dyDescent="0.3">
      <c r="A173" s="135" t="s">
        <v>45</v>
      </c>
      <c r="B173" s="135"/>
      <c r="C173" s="32"/>
      <c r="D173" s="110"/>
      <c r="E173" s="5"/>
      <c r="F173" s="5"/>
      <c r="G173" s="5"/>
      <c r="H173" s="5"/>
      <c r="I173" s="5"/>
      <c r="J173" s="5"/>
      <c r="K173" s="5"/>
      <c r="L173" s="5"/>
      <c r="M173" s="5"/>
      <c r="N173" s="5"/>
      <c r="O173" s="5"/>
      <c r="P173" s="5"/>
      <c r="Q173" s="5"/>
      <c r="R173" s="5"/>
      <c r="S173" s="5"/>
      <c r="T173" s="5"/>
      <c r="U173" s="2"/>
    </row>
    <row r="174" spans="1:21" ht="28.8" x14ac:dyDescent="0.3">
      <c r="A174" s="21">
        <v>1</v>
      </c>
      <c r="B174" s="25" t="s">
        <v>210</v>
      </c>
      <c r="C174" s="25" t="s">
        <v>130</v>
      </c>
      <c r="D174" s="110">
        <v>28052634</v>
      </c>
      <c r="E174" s="110">
        <v>28084722.365712799</v>
      </c>
      <c r="F174" s="110">
        <v>24247416.407244299</v>
      </c>
      <c r="G174" s="110">
        <v>23094379.019866031</v>
      </c>
      <c r="H174" s="110">
        <v>22934931.97418822</v>
      </c>
      <c r="I174" s="110">
        <v>22875627.580575138</v>
      </c>
      <c r="J174" s="110">
        <v>22691364.796981361</v>
      </c>
      <c r="K174" s="110">
        <v>22348875.297494058</v>
      </c>
      <c r="L174" s="110">
        <v>22072448.836450912</v>
      </c>
      <c r="M174" s="110">
        <v>21911846.702080287</v>
      </c>
      <c r="N174" s="110">
        <v>21694393.149651997</v>
      </c>
      <c r="O174" s="110">
        <v>21530511.543877162</v>
      </c>
      <c r="P174" s="110">
        <v>21364880.055896182</v>
      </c>
      <c r="Q174" s="110">
        <v>21174519.774652708</v>
      </c>
      <c r="R174" s="110">
        <v>19441477.383215126</v>
      </c>
      <c r="S174" s="110">
        <v>17597985.441909015</v>
      </c>
      <c r="T174" s="5"/>
      <c r="U174" s="2"/>
    </row>
    <row r="175" spans="1:21" x14ac:dyDescent="0.3">
      <c r="A175" s="22"/>
      <c r="B175" s="63" t="s">
        <v>164</v>
      </c>
      <c r="C175" s="43" t="s">
        <v>130</v>
      </c>
      <c r="D175" s="120">
        <v>10649081</v>
      </c>
      <c r="E175" s="120"/>
      <c r="F175" s="120">
        <v>8494467.1397541501</v>
      </c>
      <c r="G175" s="120">
        <v>7277437.7412020303</v>
      </c>
      <c r="H175" s="120">
        <v>7267813.0311036203</v>
      </c>
      <c r="I175" s="120">
        <v>7258084.2488862397</v>
      </c>
      <c r="J175" s="120">
        <v>7216749.1320911599</v>
      </c>
      <c r="K175" s="120">
        <v>7175318.1109773377</v>
      </c>
      <c r="L175" s="120">
        <v>7133795.4032841912</v>
      </c>
      <c r="M175" s="120">
        <v>7105415.5256585218</v>
      </c>
      <c r="N175" s="120">
        <v>7076952.529840244</v>
      </c>
      <c r="O175" s="120">
        <v>7048410.7669515535</v>
      </c>
      <c r="P175" s="120">
        <v>7019794.6331932368</v>
      </c>
      <c r="Q175" s="120">
        <v>6991108.5701490538</v>
      </c>
      <c r="R175" s="120">
        <v>6407865.245219484</v>
      </c>
      <c r="S175" s="120">
        <v>5817167.5486245146</v>
      </c>
      <c r="T175" s="30"/>
      <c r="U175" s="2"/>
    </row>
    <row r="176" spans="1:21" ht="13.5" customHeight="1" x14ac:dyDescent="0.3">
      <c r="A176" s="22"/>
      <c r="B176" s="63" t="s">
        <v>165</v>
      </c>
      <c r="C176" s="43" t="s">
        <v>130</v>
      </c>
      <c r="D176" s="120">
        <v>17403553</v>
      </c>
      <c r="E176" s="120"/>
      <c r="F176" s="120">
        <v>15752949.2674901</v>
      </c>
      <c r="G176" s="120">
        <v>15816941.278664</v>
      </c>
      <c r="H176" s="120">
        <v>15667118.943084599</v>
      </c>
      <c r="I176" s="120">
        <v>15617543.3316889</v>
      </c>
      <c r="J176" s="120">
        <v>15474615.6648902</v>
      </c>
      <c r="K176" s="120">
        <v>15173557.186516721</v>
      </c>
      <c r="L176" s="120">
        <v>14938653.43316672</v>
      </c>
      <c r="M176" s="120">
        <v>14806431.176421767</v>
      </c>
      <c r="N176" s="120">
        <v>14617440.619811751</v>
      </c>
      <c r="O176" s="120">
        <v>14482100.77692561</v>
      </c>
      <c r="P176" s="120">
        <v>14345085.422702946</v>
      </c>
      <c r="Q176" s="120">
        <v>14183411.204503655</v>
      </c>
      <c r="R176" s="120">
        <v>13033612.137995642</v>
      </c>
      <c r="S176" s="120">
        <v>11780817.8932845</v>
      </c>
      <c r="T176" s="30"/>
      <c r="U176" s="2"/>
    </row>
    <row r="177" spans="1:21" x14ac:dyDescent="0.3">
      <c r="A177" s="22"/>
      <c r="B177" s="63" t="s">
        <v>158</v>
      </c>
      <c r="C177" s="43" t="s">
        <v>130</v>
      </c>
      <c r="D177" s="110">
        <v>-7729798.21665252</v>
      </c>
      <c r="E177" s="110">
        <v>-7158524.0538369501</v>
      </c>
      <c r="F177" s="110">
        <v>-5174724.5118819103</v>
      </c>
      <c r="G177" s="110">
        <v>-4157470</v>
      </c>
      <c r="H177" s="110">
        <v>0</v>
      </c>
      <c r="I177" s="110">
        <v>0</v>
      </c>
      <c r="J177" s="110">
        <v>0</v>
      </c>
      <c r="K177" s="110">
        <v>0</v>
      </c>
      <c r="L177" s="110">
        <v>0</v>
      </c>
      <c r="M177" s="110">
        <v>0</v>
      </c>
      <c r="N177" s="110">
        <v>0</v>
      </c>
      <c r="O177" s="110">
        <v>0</v>
      </c>
      <c r="P177" s="110">
        <v>0</v>
      </c>
      <c r="Q177" s="110">
        <v>0</v>
      </c>
      <c r="R177" s="110">
        <v>-2122850</v>
      </c>
      <c r="S177" s="110">
        <v>-1766661</v>
      </c>
      <c r="T177" s="5"/>
      <c r="U177" s="2"/>
    </row>
    <row r="178" spans="1:21" ht="43.5" customHeight="1" x14ac:dyDescent="0.3">
      <c r="A178" s="21">
        <v>2</v>
      </c>
      <c r="B178" s="25" t="s">
        <v>166</v>
      </c>
      <c r="C178" s="25" t="s">
        <v>130</v>
      </c>
      <c r="D178" s="132" t="s">
        <v>167</v>
      </c>
      <c r="E178" s="133"/>
      <c r="F178" s="133"/>
      <c r="G178" s="133"/>
      <c r="H178" s="133"/>
      <c r="I178" s="133"/>
      <c r="J178" s="133"/>
      <c r="K178" s="133"/>
      <c r="L178" s="133"/>
      <c r="M178" s="133"/>
      <c r="N178" s="133"/>
      <c r="O178" s="133"/>
      <c r="P178" s="133"/>
      <c r="Q178" s="133"/>
      <c r="R178" s="133"/>
      <c r="S178" s="134"/>
      <c r="T178" s="101"/>
      <c r="U178" s="2"/>
    </row>
    <row r="179" spans="1:21" ht="18.75" customHeight="1" x14ac:dyDescent="0.3">
      <c r="A179" s="21">
        <v>3</v>
      </c>
      <c r="B179" s="24" t="s">
        <v>131</v>
      </c>
      <c r="C179" s="24" t="s">
        <v>211</v>
      </c>
      <c r="D179" s="110">
        <v>624.00200195746947</v>
      </c>
      <c r="E179" s="110">
        <v>597.75077400206021</v>
      </c>
      <c r="F179" s="110">
        <v>543.7250007230474</v>
      </c>
      <c r="G179" s="110">
        <v>445.06415532599789</v>
      </c>
      <c r="H179" s="110">
        <v>431.74155996280666</v>
      </c>
      <c r="I179" s="110">
        <v>420.86528597034868</v>
      </c>
      <c r="J179" s="110">
        <v>408.22306451086087</v>
      </c>
      <c r="K179" s="110">
        <v>393.34423308084212</v>
      </c>
      <c r="L179" s="110">
        <v>380.23495183336485</v>
      </c>
      <c r="M179" s="110">
        <v>369.62431221395389</v>
      </c>
      <c r="N179" s="110">
        <v>358.50619863157351</v>
      </c>
      <c r="O179" s="110">
        <v>348.69935709783368</v>
      </c>
      <c r="P179" s="110">
        <v>339.24839435121942</v>
      </c>
      <c r="Q179" s="110">
        <v>329.77495015734098</v>
      </c>
      <c r="R179" s="110">
        <v>276.18873427683724</v>
      </c>
      <c r="S179" s="110">
        <v>229.8137178179434</v>
      </c>
      <c r="T179" s="5"/>
      <c r="U179" s="2"/>
    </row>
    <row r="180" spans="1:21" x14ac:dyDescent="0.3">
      <c r="A180" s="21">
        <v>4</v>
      </c>
      <c r="B180" s="24" t="s">
        <v>32</v>
      </c>
      <c r="C180" s="24"/>
      <c r="D180" s="121"/>
      <c r="E180" s="121"/>
      <c r="F180" s="121"/>
      <c r="G180" s="121"/>
      <c r="H180" s="121"/>
      <c r="I180" s="121"/>
      <c r="J180" s="121"/>
      <c r="K180" s="121"/>
      <c r="L180" s="121"/>
      <c r="M180" s="121"/>
      <c r="N180" s="121"/>
      <c r="O180" s="121"/>
      <c r="P180" s="121"/>
      <c r="Q180" s="121"/>
      <c r="R180" s="121"/>
      <c r="S180" s="121"/>
      <c r="T180" s="4"/>
      <c r="U180" s="2"/>
    </row>
    <row r="181" spans="1:21" ht="28.8" x14ac:dyDescent="0.3">
      <c r="A181" s="21" t="s">
        <v>33</v>
      </c>
      <c r="B181" s="24" t="s">
        <v>168</v>
      </c>
      <c r="C181" s="24" t="s">
        <v>132</v>
      </c>
      <c r="D181" s="122">
        <v>0.28355246956618341</v>
      </c>
      <c r="E181" s="122">
        <v>0.21830930494613163</v>
      </c>
      <c r="F181" s="122">
        <v>0.21767190468327716</v>
      </c>
      <c r="G181" s="122">
        <v>0.17013816423544045</v>
      </c>
      <c r="H181" s="122">
        <v>0.16146788444421686</v>
      </c>
      <c r="I181" s="122">
        <v>0.1531301241608467</v>
      </c>
      <c r="J181" s="122">
        <v>0.14510621587456643</v>
      </c>
      <c r="K181" s="122">
        <v>0.13737884091564909</v>
      </c>
      <c r="L181" s="122">
        <v>0.12993192494464825</v>
      </c>
      <c r="M181" s="122">
        <v>0.12275052807868277</v>
      </c>
      <c r="N181" s="122">
        <v>0.11582074644904149</v>
      </c>
      <c r="O181" s="122">
        <v>0.10912962382583706</v>
      </c>
      <c r="P181" s="122">
        <v>0.10266490552487997</v>
      </c>
      <c r="Q181" s="122">
        <v>9.6415865485410299E-2</v>
      </c>
      <c r="R181" s="122">
        <v>7.4466860535857479E-2</v>
      </c>
      <c r="S181" s="122">
        <v>5.6189261924996931E-2</v>
      </c>
      <c r="T181" s="12"/>
      <c r="U181" s="2"/>
    </row>
    <row r="182" spans="1:21" x14ac:dyDescent="0.3">
      <c r="A182" s="21" t="s">
        <v>34</v>
      </c>
      <c r="B182" s="24" t="s">
        <v>169</v>
      </c>
      <c r="C182" s="24" t="s">
        <v>133</v>
      </c>
      <c r="D182" s="121"/>
      <c r="E182" s="121"/>
      <c r="F182" s="121"/>
      <c r="G182" s="121"/>
      <c r="H182" s="121"/>
      <c r="I182" s="121"/>
      <c r="J182" s="121"/>
      <c r="K182" s="121"/>
      <c r="L182" s="121"/>
      <c r="M182" s="121"/>
      <c r="N182" s="121"/>
      <c r="O182" s="121"/>
      <c r="P182" s="121"/>
      <c r="Q182" s="121"/>
      <c r="R182" s="121"/>
      <c r="S182" s="121"/>
      <c r="T182" s="4"/>
      <c r="U182" s="2"/>
    </row>
    <row r="183" spans="1:21" x14ac:dyDescent="0.3">
      <c r="A183" s="17"/>
      <c r="B183" s="61" t="s">
        <v>4</v>
      </c>
      <c r="C183" s="50" t="s">
        <v>133</v>
      </c>
      <c r="D183" s="123">
        <v>2.3917013800323579</v>
      </c>
      <c r="E183" s="123">
        <v>2.218142948566229</v>
      </c>
      <c r="F183" s="123">
        <v>2.0486308418915824</v>
      </c>
      <c r="G183" s="123">
        <v>2.0967880272340778</v>
      </c>
      <c r="H183" s="123">
        <v>2.0818694709692807</v>
      </c>
      <c r="I183" s="123">
        <v>2.0671285883213066</v>
      </c>
      <c r="J183" s="123">
        <v>2.0525668826918659</v>
      </c>
      <c r="K183" s="123">
        <v>2.0381858325002047</v>
      </c>
      <c r="L183" s="123">
        <v>2.0239868916998911</v>
      </c>
      <c r="M183" s="123">
        <v>2.0099714902828123</v>
      </c>
      <c r="N183" s="123">
        <v>1.9961410347707733</v>
      </c>
      <c r="O183" s="123">
        <v>1.9824969086950397</v>
      </c>
      <c r="P183" s="123">
        <v>1.9690404730641711</v>
      </c>
      <c r="Q183" s="123">
        <v>1.9557730668204756</v>
      </c>
      <c r="R183" s="123">
        <v>1.8559030826241403</v>
      </c>
      <c r="S183" s="123">
        <v>1.7629759180781395</v>
      </c>
      <c r="T183" s="9"/>
      <c r="U183" s="2"/>
    </row>
    <row r="184" spans="1:21" x14ac:dyDescent="0.3">
      <c r="A184" s="17"/>
      <c r="B184" s="61" t="s">
        <v>84</v>
      </c>
      <c r="C184" s="50" t="s">
        <v>133</v>
      </c>
      <c r="D184" s="123">
        <v>1.0169595188805387</v>
      </c>
      <c r="E184" s="123">
        <v>0.93583365602706292</v>
      </c>
      <c r="F184" s="123">
        <v>0.79955327349782956</v>
      </c>
      <c r="G184" s="123">
        <v>0.80235002518650467</v>
      </c>
      <c r="H184" s="123">
        <v>0.79584001325498266</v>
      </c>
      <c r="I184" s="123">
        <v>0.78895028133771228</v>
      </c>
      <c r="J184" s="123">
        <v>0.78168047433797927</v>
      </c>
      <c r="K184" s="123">
        <v>0.77403034418374284</v>
      </c>
      <c r="L184" s="123">
        <v>0.76599974817641525</v>
      </c>
      <c r="M184" s="123">
        <v>0.7607405328817769</v>
      </c>
      <c r="N184" s="123">
        <v>0.75502107177904365</v>
      </c>
      <c r="O184" s="123">
        <v>0.74883703222374232</v>
      </c>
      <c r="P184" s="123">
        <v>0.74218419798653235</v>
      </c>
      <c r="Q184" s="123">
        <v>0.73505846947769538</v>
      </c>
      <c r="R184" s="123">
        <v>0.73443685518368484</v>
      </c>
      <c r="S184" s="123">
        <v>0.72569941289467743</v>
      </c>
      <c r="T184" s="9"/>
      <c r="U184" s="2"/>
    </row>
    <row r="185" spans="1:21" x14ac:dyDescent="0.3">
      <c r="A185" s="17"/>
      <c r="B185" s="61" t="s">
        <v>85</v>
      </c>
      <c r="C185" s="50" t="s">
        <v>133</v>
      </c>
      <c r="D185" s="123">
        <v>1.1440591414757628</v>
      </c>
      <c r="E185" s="123">
        <v>0.86883141547876241</v>
      </c>
      <c r="F185" s="123">
        <v>0.7911921768743766</v>
      </c>
      <c r="G185" s="123">
        <v>0.78080708014799538</v>
      </c>
      <c r="H185" s="123">
        <v>0.7729235332265344</v>
      </c>
      <c r="I185" s="123">
        <v>0.76454733978608591</v>
      </c>
      <c r="J185" s="123">
        <v>0.75570939047723651</v>
      </c>
      <c r="K185" s="123">
        <v>0.74644091183984196</v>
      </c>
      <c r="L185" s="123">
        <v>0.73677342954985225</v>
      </c>
      <c r="M185" s="123">
        <v>0.72955085081878879</v>
      </c>
      <c r="N185" s="123">
        <v>0.72196043571737734</v>
      </c>
      <c r="O185" s="123">
        <v>0.71402944577532412</v>
      </c>
      <c r="P185" s="123">
        <v>0.70578561508791626</v>
      </c>
      <c r="Q185" s="123">
        <v>0.69725712685118268</v>
      </c>
      <c r="R185" s="123">
        <v>0.63739329854556814</v>
      </c>
      <c r="S185" s="123">
        <v>0.57757993571010979</v>
      </c>
      <c r="T185" s="9"/>
      <c r="U185" s="2"/>
    </row>
    <row r="186" spans="1:21" x14ac:dyDescent="0.3">
      <c r="A186" s="17"/>
      <c r="B186" s="61" t="s">
        <v>155</v>
      </c>
      <c r="C186" s="50" t="s">
        <v>133</v>
      </c>
      <c r="D186" s="123">
        <v>2.8915711733851022</v>
      </c>
      <c r="E186" s="123">
        <v>2.8759172277331397</v>
      </c>
      <c r="F186" s="123">
        <v>2.8244629651964992</v>
      </c>
      <c r="G186" s="123">
        <v>2.7808735244214247</v>
      </c>
      <c r="H186" s="123">
        <v>2.7704826569999494</v>
      </c>
      <c r="I186" s="123">
        <v>2.7588450829124893</v>
      </c>
      <c r="J186" s="123">
        <v>2.745989345660552</v>
      </c>
      <c r="K186" s="123">
        <v>2.7319450440483912</v>
      </c>
      <c r="L186" s="123">
        <v>2.7167427223961451</v>
      </c>
      <c r="M186" s="123">
        <v>2.7064574051242301</v>
      </c>
      <c r="N186" s="123">
        <v>2.6951507444532088</v>
      </c>
      <c r="O186" s="123">
        <v>2.6828415514278148</v>
      </c>
      <c r="P186" s="123">
        <v>2.6695494643883659</v>
      </c>
      <c r="Q186" s="123">
        <v>2.6552948720113441</v>
      </c>
      <c r="R186" s="123">
        <v>2.4414773748081591</v>
      </c>
      <c r="S186" s="123">
        <v>2.2806393945849881</v>
      </c>
      <c r="T186" s="9"/>
      <c r="U186" s="2"/>
    </row>
    <row r="187" spans="1:21" x14ac:dyDescent="0.3">
      <c r="A187" s="17"/>
      <c r="B187" s="61" t="s">
        <v>87</v>
      </c>
      <c r="C187" s="50" t="s">
        <v>133</v>
      </c>
      <c r="D187" s="123">
        <v>2.8915711733851022</v>
      </c>
      <c r="E187" s="123">
        <v>2.8759172277331397</v>
      </c>
      <c r="F187" s="123">
        <v>2.8244629651964992</v>
      </c>
      <c r="G187" s="123">
        <v>2.7808735244214247</v>
      </c>
      <c r="H187" s="123">
        <v>2.7704826569999494</v>
      </c>
      <c r="I187" s="123">
        <v>2.7588450829124893</v>
      </c>
      <c r="J187" s="123">
        <v>2.745989345660552</v>
      </c>
      <c r="K187" s="123">
        <v>2.7319450440483912</v>
      </c>
      <c r="L187" s="123">
        <v>2.7167427223961451</v>
      </c>
      <c r="M187" s="123">
        <v>2.7064574051242301</v>
      </c>
      <c r="N187" s="123">
        <v>2.6951507444532088</v>
      </c>
      <c r="O187" s="123">
        <v>2.6828415514278148</v>
      </c>
      <c r="P187" s="123">
        <v>2.6695494643883659</v>
      </c>
      <c r="Q187" s="123">
        <v>2.6552948720113441</v>
      </c>
      <c r="R187" s="123">
        <v>2.4414773748081591</v>
      </c>
      <c r="S187" s="123">
        <v>2.2806393945849881</v>
      </c>
      <c r="T187" s="9"/>
      <c r="U187" s="2"/>
    </row>
    <row r="188" spans="1:21" x14ac:dyDescent="0.3">
      <c r="A188" s="23">
        <v>5</v>
      </c>
      <c r="B188" s="25" t="s">
        <v>156</v>
      </c>
      <c r="C188" s="25"/>
      <c r="D188" s="121"/>
      <c r="E188" s="121"/>
      <c r="F188" s="121"/>
      <c r="G188" s="121"/>
      <c r="H188" s="121"/>
      <c r="I188" s="121"/>
      <c r="J188" s="121"/>
      <c r="K188" s="121"/>
      <c r="L188" s="121"/>
      <c r="M188" s="121"/>
      <c r="N188" s="121"/>
      <c r="O188" s="121"/>
      <c r="P188" s="121"/>
      <c r="Q188" s="121"/>
      <c r="R188" s="121"/>
      <c r="S188" s="121"/>
      <c r="T188" s="4"/>
      <c r="U188" s="2"/>
    </row>
    <row r="189" spans="1:21" x14ac:dyDescent="0.3">
      <c r="A189" s="18" t="s">
        <v>33</v>
      </c>
      <c r="B189" s="25" t="s">
        <v>52</v>
      </c>
      <c r="C189" s="25"/>
      <c r="D189" s="121"/>
      <c r="E189" s="121"/>
      <c r="F189" s="121"/>
      <c r="G189" s="121"/>
      <c r="H189" s="121"/>
      <c r="I189" s="121"/>
      <c r="J189" s="121"/>
      <c r="K189" s="121"/>
      <c r="L189" s="121"/>
      <c r="M189" s="121"/>
      <c r="N189" s="121"/>
      <c r="O189" s="121"/>
      <c r="P189" s="121"/>
      <c r="Q189" s="121"/>
      <c r="R189" s="121"/>
      <c r="S189" s="121"/>
      <c r="T189" s="4"/>
      <c r="U189" s="2"/>
    </row>
    <row r="190" spans="1:21" s="28" customFormat="1" x14ac:dyDescent="0.3">
      <c r="A190" s="27"/>
      <c r="B190" s="62" t="s">
        <v>134</v>
      </c>
      <c r="C190" s="54" t="s">
        <v>135</v>
      </c>
      <c r="D190" s="128">
        <v>239.38200000000001</v>
      </c>
      <c r="E190" s="128">
        <v>209.33600000000001</v>
      </c>
      <c r="F190" s="128">
        <v>174.80500000000001</v>
      </c>
      <c r="G190" s="128">
        <v>177.17746850121694</v>
      </c>
      <c r="H190" s="129">
        <v>175.85648987382874</v>
      </c>
      <c r="I190" s="129">
        <v>174.53551124644054</v>
      </c>
      <c r="J190" s="129">
        <v>173.21453261905233</v>
      </c>
      <c r="K190" s="129">
        <v>171.89355399166413</v>
      </c>
      <c r="L190" s="128">
        <v>170.57257536427596</v>
      </c>
      <c r="M190" s="129">
        <v>168.41482926899428</v>
      </c>
      <c r="N190" s="129">
        <v>166.2570831737126</v>
      </c>
      <c r="O190" s="129">
        <v>164.09933707843092</v>
      </c>
      <c r="P190" s="129">
        <v>161.94159098314924</v>
      </c>
      <c r="Q190" s="128">
        <v>159.78384488786762</v>
      </c>
      <c r="R190" s="128">
        <v>155.50328361730135</v>
      </c>
      <c r="S190" s="128">
        <v>148.02561889618141</v>
      </c>
      <c r="T190" s="26"/>
      <c r="U190" s="76"/>
    </row>
    <row r="191" spans="1:21" s="28" customFormat="1" x14ac:dyDescent="0.3">
      <c r="A191" s="27"/>
      <c r="B191" s="62" t="s">
        <v>137</v>
      </c>
      <c r="C191" s="54" t="s">
        <v>135</v>
      </c>
      <c r="D191" s="128">
        <v>236.059</v>
      </c>
      <c r="E191" s="128">
        <v>261.86899999999997</v>
      </c>
      <c r="F191" s="128">
        <v>302.77</v>
      </c>
      <c r="G191" s="128">
        <v>279.62273306667657</v>
      </c>
      <c r="H191" s="129">
        <v>280.40331752457462</v>
      </c>
      <c r="I191" s="129">
        <v>281.18390198247266</v>
      </c>
      <c r="J191" s="129">
        <v>281.96448644037071</v>
      </c>
      <c r="K191" s="129">
        <v>282.74507089826875</v>
      </c>
      <c r="L191" s="128">
        <v>283.52565535616668</v>
      </c>
      <c r="M191" s="129">
        <v>284.35269724223383</v>
      </c>
      <c r="N191" s="129">
        <v>285.17973912830098</v>
      </c>
      <c r="O191" s="129">
        <v>286.00678101436813</v>
      </c>
      <c r="P191" s="129">
        <v>286.83382290043528</v>
      </c>
      <c r="Q191" s="128">
        <v>287.66086478650237</v>
      </c>
      <c r="R191" s="128">
        <v>289.38802225332444</v>
      </c>
      <c r="S191" s="128">
        <v>295.8367473001727</v>
      </c>
      <c r="T191" s="29"/>
      <c r="U191" s="76"/>
    </row>
    <row r="192" spans="1:21" s="28" customFormat="1" x14ac:dyDescent="0.3">
      <c r="A192" s="27"/>
      <c r="B192" s="62" t="s">
        <v>138</v>
      </c>
      <c r="C192" s="54" t="s">
        <v>135</v>
      </c>
      <c r="D192" s="128">
        <v>1204.96</v>
      </c>
      <c r="E192" s="128">
        <v>1230.5740000000001</v>
      </c>
      <c r="F192" s="128">
        <v>1195.1390000000001</v>
      </c>
      <c r="G192" s="128">
        <v>1200.4725535067694</v>
      </c>
      <c r="H192" s="129">
        <v>1201.228511195716</v>
      </c>
      <c r="I192" s="129">
        <v>1201.9844688846626</v>
      </c>
      <c r="J192" s="129">
        <v>1202.7404265736093</v>
      </c>
      <c r="K192" s="129">
        <v>1203.4963842625559</v>
      </c>
      <c r="L192" s="128">
        <v>1204.2523419515028</v>
      </c>
      <c r="M192" s="129">
        <v>1208.5780516810689</v>
      </c>
      <c r="N192" s="129">
        <v>1212.9037614106351</v>
      </c>
      <c r="O192" s="129">
        <v>1217.2294711402012</v>
      </c>
      <c r="P192" s="129">
        <v>1221.5551808697674</v>
      </c>
      <c r="Q192" s="128">
        <v>1225.880890599334</v>
      </c>
      <c r="R192" s="128">
        <v>1219.9766220676254</v>
      </c>
      <c r="S192" s="128">
        <v>1215.7172406176917</v>
      </c>
      <c r="T192" s="29"/>
      <c r="U192" s="76"/>
    </row>
    <row r="193" spans="1:21" s="28" customFormat="1" x14ac:dyDescent="0.3">
      <c r="A193" s="27"/>
      <c r="B193" s="62" t="s">
        <v>139</v>
      </c>
      <c r="C193" s="54" t="s">
        <v>135</v>
      </c>
      <c r="D193" s="128">
        <v>796.5</v>
      </c>
      <c r="E193" s="128">
        <v>629.4</v>
      </c>
      <c r="F193" s="128">
        <v>590</v>
      </c>
      <c r="G193" s="128">
        <v>652.76295255155583</v>
      </c>
      <c r="H193" s="129">
        <v>650.01845836014888</v>
      </c>
      <c r="I193" s="129">
        <v>647.27396416874194</v>
      </c>
      <c r="J193" s="129">
        <v>644.529469977335</v>
      </c>
      <c r="K193" s="129">
        <v>641.78497578592805</v>
      </c>
      <c r="L193" s="128">
        <v>639.04048159452122</v>
      </c>
      <c r="M193" s="129">
        <v>635.37738722364759</v>
      </c>
      <c r="N193" s="129">
        <v>631.71429285277395</v>
      </c>
      <c r="O193" s="129">
        <v>628.05119848190031</v>
      </c>
      <c r="P193" s="129">
        <v>624.38810411102668</v>
      </c>
      <c r="Q193" s="128">
        <v>620.72500974015293</v>
      </c>
      <c r="R193" s="128">
        <v>607.25773994110045</v>
      </c>
      <c r="S193" s="128">
        <v>595.28120180012343</v>
      </c>
      <c r="T193" s="29"/>
      <c r="U193" s="76"/>
    </row>
    <row r="194" spans="1:21" s="28" customFormat="1" x14ac:dyDescent="0.3">
      <c r="A194" s="27"/>
      <c r="B194" s="62" t="s">
        <v>136</v>
      </c>
      <c r="C194" s="54" t="s">
        <v>135</v>
      </c>
      <c r="D194" s="128">
        <v>10640</v>
      </c>
      <c r="E194" s="128">
        <v>9469.4410000000007</v>
      </c>
      <c r="F194" s="128">
        <v>10189.784</v>
      </c>
      <c r="G194" s="128">
        <v>9872.0684045560993</v>
      </c>
      <c r="H194" s="129">
        <v>9840.7107662253857</v>
      </c>
      <c r="I194" s="129">
        <v>9809.3531278946721</v>
      </c>
      <c r="J194" s="129">
        <v>9777.9954895639585</v>
      </c>
      <c r="K194" s="129">
        <v>9746.6378512332449</v>
      </c>
      <c r="L194" s="128">
        <v>9715.2802129025295</v>
      </c>
      <c r="M194" s="129">
        <v>9679.642762124864</v>
      </c>
      <c r="N194" s="129">
        <v>9644.0053113471986</v>
      </c>
      <c r="O194" s="129">
        <v>9608.3678605695331</v>
      </c>
      <c r="P194" s="129">
        <v>9572.7304097918677</v>
      </c>
      <c r="Q194" s="128">
        <v>9537.0929590141986</v>
      </c>
      <c r="R194" s="128">
        <v>9357.4559341012591</v>
      </c>
      <c r="S194" s="128">
        <v>9205.0366402357358</v>
      </c>
      <c r="T194" s="29"/>
      <c r="U194" s="76"/>
    </row>
    <row r="195" spans="1:21" ht="28.8" x14ac:dyDescent="0.3">
      <c r="A195" s="18" t="s">
        <v>34</v>
      </c>
      <c r="B195" s="25" t="s">
        <v>140</v>
      </c>
      <c r="C195" s="25" t="s">
        <v>141</v>
      </c>
      <c r="D195" s="130">
        <v>121.30879829265784</v>
      </c>
      <c r="E195" s="130">
        <v>109.34529999999999</v>
      </c>
      <c r="F195" s="130">
        <v>87.427700000000002</v>
      </c>
      <c r="G195" s="130">
        <v>100.587216227955</v>
      </c>
      <c r="H195" s="129">
        <v>99.945936773874962</v>
      </c>
      <c r="I195" s="129">
        <v>99.304657319794927</v>
      </c>
      <c r="J195" s="129">
        <v>98.663377865714892</v>
      </c>
      <c r="K195" s="129">
        <v>98.022098411634857</v>
      </c>
      <c r="L195" s="128">
        <v>97.380818957554808</v>
      </c>
      <c r="M195" s="129">
        <v>96.815640863357274</v>
      </c>
      <c r="N195" s="129">
        <v>96.250462769159739</v>
      </c>
      <c r="O195" s="129">
        <v>95.685284674962205</v>
      </c>
      <c r="P195" s="129">
        <v>95.12010658076467</v>
      </c>
      <c r="Q195" s="130">
        <v>94.55492848656715</v>
      </c>
      <c r="R195" s="130">
        <v>91.755819995026144</v>
      </c>
      <c r="S195" s="130">
        <v>88.983395595017527</v>
      </c>
      <c r="T195" s="4"/>
      <c r="U195" s="2"/>
    </row>
    <row r="196" spans="1:21" x14ac:dyDescent="0.3">
      <c r="A196" s="18" t="s">
        <v>35</v>
      </c>
      <c r="B196" s="25" t="s">
        <v>142</v>
      </c>
      <c r="C196" s="25" t="s">
        <v>141</v>
      </c>
      <c r="D196" s="130">
        <v>35.739113100942888</v>
      </c>
      <c r="E196" s="130">
        <v>33.411579828747186</v>
      </c>
      <c r="F196" s="130">
        <v>33.249609584390818</v>
      </c>
      <c r="G196" s="130">
        <v>33.284969760004792</v>
      </c>
      <c r="H196" s="129">
        <v>33.178655655630791</v>
      </c>
      <c r="I196" s="129">
        <v>33.072341551256791</v>
      </c>
      <c r="J196" s="129">
        <v>32.966027446882791</v>
      </c>
      <c r="K196" s="129">
        <v>32.85971334250879</v>
      </c>
      <c r="L196" s="130">
        <v>32.753399238134783</v>
      </c>
      <c r="M196" s="129">
        <v>32.623332284416726</v>
      </c>
      <c r="N196" s="129">
        <v>32.493265330698669</v>
      </c>
      <c r="O196" s="129">
        <v>32.363198376980613</v>
      </c>
      <c r="P196" s="129">
        <v>32.233131423262556</v>
      </c>
      <c r="Q196" s="130">
        <v>32.103064469544485</v>
      </c>
      <c r="R196" s="130">
        <v>31.730137633731122</v>
      </c>
      <c r="S196" s="130">
        <v>31.350306597517157</v>
      </c>
      <c r="T196" s="4"/>
      <c r="U196" s="2"/>
    </row>
    <row r="197" spans="1:21" x14ac:dyDescent="0.3">
      <c r="A197" s="18" t="s">
        <v>36</v>
      </c>
      <c r="B197" s="25" t="s">
        <v>143</v>
      </c>
      <c r="C197" s="25" t="s">
        <v>141</v>
      </c>
      <c r="D197" s="130">
        <v>3.3160036441147107</v>
      </c>
      <c r="E197" s="130">
        <v>3.760245131529778</v>
      </c>
      <c r="F197" s="130">
        <v>3.6791802191446665</v>
      </c>
      <c r="G197" s="130">
        <v>2.8489033432979638</v>
      </c>
      <c r="H197" s="129">
        <v>2.8527337911367168</v>
      </c>
      <c r="I197" s="129">
        <v>2.8565642389754697</v>
      </c>
      <c r="J197" s="129">
        <v>2.8603946868142227</v>
      </c>
      <c r="K197" s="129">
        <v>2.8642251346529757</v>
      </c>
      <c r="L197" s="130">
        <v>2.8680555824917282</v>
      </c>
      <c r="M197" s="129">
        <v>2.8820014041052318</v>
      </c>
      <c r="N197" s="129">
        <v>2.8959472257187353</v>
      </c>
      <c r="O197" s="129">
        <v>2.9098930473322389</v>
      </c>
      <c r="P197" s="129">
        <v>2.9238388689457424</v>
      </c>
      <c r="Q197" s="130">
        <v>2.9377846905592464</v>
      </c>
      <c r="R197" s="130">
        <v>2.9403922639239437</v>
      </c>
      <c r="S197" s="130">
        <v>2.9345406441875825</v>
      </c>
      <c r="T197" s="4"/>
      <c r="U197" s="2"/>
    </row>
    <row r="198" spans="1:21" x14ac:dyDescent="0.3">
      <c r="A198" s="18" t="s">
        <v>37</v>
      </c>
      <c r="B198" s="25" t="s">
        <v>144</v>
      </c>
      <c r="C198" s="25" t="s">
        <v>141</v>
      </c>
      <c r="D198" s="130">
        <v>32.772103938036103</v>
      </c>
      <c r="E198" s="130">
        <v>30.467132642682461</v>
      </c>
      <c r="F198" s="130">
        <v>31.226744432855448</v>
      </c>
      <c r="G198" s="130">
        <v>34.105480381944304</v>
      </c>
      <c r="H198" s="129">
        <v>34.165632399184034</v>
      </c>
      <c r="I198" s="129">
        <v>34.225784416423764</v>
      </c>
      <c r="J198" s="129">
        <v>34.285936433663494</v>
      </c>
      <c r="K198" s="129">
        <v>34.346088450903224</v>
      </c>
      <c r="L198" s="130">
        <v>34.406240468142968</v>
      </c>
      <c r="M198" s="129">
        <v>34.63688076334001</v>
      </c>
      <c r="N198" s="129">
        <v>34.867521058537051</v>
      </c>
      <c r="O198" s="129">
        <v>35.098161353734092</v>
      </c>
      <c r="P198" s="129">
        <v>35.328801648931133</v>
      </c>
      <c r="Q198" s="130">
        <v>35.559441944128174</v>
      </c>
      <c r="R198" s="130">
        <v>35.540168496361758</v>
      </c>
      <c r="S198" s="130">
        <v>35.557204414357692</v>
      </c>
      <c r="T198" s="4"/>
      <c r="U198" s="2"/>
    </row>
    <row r="199" spans="1:21" x14ac:dyDescent="0.3">
      <c r="A199" s="18" t="s">
        <v>38</v>
      </c>
      <c r="B199" s="25" t="s">
        <v>146</v>
      </c>
      <c r="C199" s="25" t="s">
        <v>145</v>
      </c>
      <c r="D199" s="124">
        <v>2685.5</v>
      </c>
      <c r="E199" s="124">
        <v>2685.5</v>
      </c>
      <c r="F199" s="124">
        <v>2685.5</v>
      </c>
      <c r="G199" s="124">
        <v>2685.5</v>
      </c>
      <c r="H199" s="124">
        <v>2685.5</v>
      </c>
      <c r="I199" s="124">
        <v>2685.5</v>
      </c>
      <c r="J199" s="124">
        <v>2685.5</v>
      </c>
      <c r="K199" s="124">
        <v>2685.5</v>
      </c>
      <c r="L199" s="124">
        <v>2685.5</v>
      </c>
      <c r="M199" s="124">
        <v>2685.5</v>
      </c>
      <c r="N199" s="124">
        <v>2685.5</v>
      </c>
      <c r="O199" s="124">
        <v>2685.5</v>
      </c>
      <c r="P199" s="124">
        <v>2685.5</v>
      </c>
      <c r="Q199" s="124">
        <v>2685.5</v>
      </c>
      <c r="R199" s="124">
        <v>2685.5</v>
      </c>
      <c r="S199" s="124">
        <v>2685.5</v>
      </c>
      <c r="T199" s="31"/>
      <c r="U199" s="2"/>
    </row>
    <row r="200" spans="1:21" x14ac:dyDescent="0.3">
      <c r="A200" s="18" t="s">
        <v>39</v>
      </c>
      <c r="B200" s="25" t="s">
        <v>42</v>
      </c>
      <c r="C200" s="25" t="s">
        <v>159</v>
      </c>
      <c r="D200" s="125">
        <v>2014468.4968675065</v>
      </c>
      <c r="E200" s="125">
        <v>2052677.2094441121</v>
      </c>
      <c r="F200" s="125">
        <v>2406314.6720169424</v>
      </c>
      <c r="G200" s="125">
        <v>2273117.0332644624</v>
      </c>
      <c r="H200" s="125">
        <v>2246006.0689419028</v>
      </c>
      <c r="I200" s="125">
        <v>2218687.4973730245</v>
      </c>
      <c r="J200" s="125">
        <v>2216420.5993277766</v>
      </c>
      <c r="K200" s="125">
        <v>2214359.195569708</v>
      </c>
      <c r="L200" s="125">
        <v>2212504.439517559</v>
      </c>
      <c r="M200" s="125">
        <v>2210961.9278944707</v>
      </c>
      <c r="N200" s="125">
        <v>2209631.4230906917</v>
      </c>
      <c r="O200" s="125">
        <v>2208514.2271417752</v>
      </c>
      <c r="P200" s="125">
        <v>2207611.672354931</v>
      </c>
      <c r="Q200" s="125">
        <v>2204260.8688948401</v>
      </c>
      <c r="R200" s="125">
        <v>2189562.9387480048</v>
      </c>
      <c r="S200" s="125">
        <v>2178610.5353654982</v>
      </c>
      <c r="T200" s="10"/>
      <c r="U200" s="2"/>
    </row>
    <row r="201" spans="1:21" x14ac:dyDescent="0.3">
      <c r="A201" s="18" t="s">
        <v>40</v>
      </c>
      <c r="B201" s="25" t="s">
        <v>43</v>
      </c>
      <c r="C201" s="25" t="s">
        <v>159</v>
      </c>
      <c r="D201" s="126">
        <v>1787496.6040774437</v>
      </c>
      <c r="E201" s="126">
        <v>1998997.6693571429</v>
      </c>
      <c r="F201" s="126">
        <v>1918659.28</v>
      </c>
      <c r="G201" s="126">
        <v>1136558.5166322312</v>
      </c>
      <c r="H201" s="126">
        <v>1010702.7310238563</v>
      </c>
      <c r="I201" s="126">
        <v>887474.99894920993</v>
      </c>
      <c r="J201" s="126">
        <v>775747.2097647218</v>
      </c>
      <c r="K201" s="126">
        <v>664307.75867091236</v>
      </c>
      <c r="L201" s="126">
        <v>553126.10987938975</v>
      </c>
      <c r="M201" s="126">
        <v>530630.86269467289</v>
      </c>
      <c r="N201" s="126">
        <v>508215.22731085907</v>
      </c>
      <c r="O201" s="126">
        <v>485873.12997119059</v>
      </c>
      <c r="P201" s="126">
        <v>463598.45119453559</v>
      </c>
      <c r="Q201" s="126">
        <v>440852.17377896811</v>
      </c>
      <c r="R201" s="126">
        <v>328434.44081220077</v>
      </c>
      <c r="S201" s="126">
        <v>217861.05353654982</v>
      </c>
      <c r="T201" s="6"/>
      <c r="U201" s="2"/>
    </row>
    <row r="202" spans="1:21" ht="28.8" x14ac:dyDescent="0.3">
      <c r="A202" s="18" t="s">
        <v>41</v>
      </c>
      <c r="B202" s="25" t="s">
        <v>147</v>
      </c>
      <c r="C202" s="25" t="s">
        <v>105</v>
      </c>
      <c r="D202" s="127">
        <v>6.2</v>
      </c>
      <c r="E202" s="127">
        <v>6.2</v>
      </c>
      <c r="F202" s="127">
        <v>8</v>
      </c>
      <c r="G202" s="127">
        <v>6.7</v>
      </c>
      <c r="H202" s="127">
        <v>6.2</v>
      </c>
      <c r="I202" s="127">
        <v>5.7</v>
      </c>
      <c r="J202" s="127">
        <v>5.2</v>
      </c>
      <c r="K202" s="127">
        <v>4.7</v>
      </c>
      <c r="L202" s="127">
        <v>4.2</v>
      </c>
      <c r="M202" s="127">
        <v>4.3</v>
      </c>
      <c r="N202" s="127">
        <v>4.3</v>
      </c>
      <c r="O202" s="127">
        <v>4.4000000000000004</v>
      </c>
      <c r="P202" s="127">
        <v>4.5</v>
      </c>
      <c r="Q202" s="127">
        <v>4.5</v>
      </c>
      <c r="R202" s="127">
        <v>4.5999999999999996</v>
      </c>
      <c r="S202" s="127">
        <v>4.0999999999999996</v>
      </c>
      <c r="T202" s="11"/>
      <c r="U202" s="2"/>
    </row>
    <row r="203" spans="1:21" x14ac:dyDescent="0.3">
      <c r="B203" s="55"/>
      <c r="C203" s="55"/>
      <c r="D203" s="1"/>
      <c r="E203" s="1"/>
      <c r="F203" s="1"/>
      <c r="G203" s="1"/>
      <c r="H203" s="1"/>
      <c r="I203" s="1"/>
      <c r="J203" s="1"/>
      <c r="K203" s="1"/>
      <c r="L203" s="1"/>
      <c r="M203" s="1"/>
      <c r="N203" s="1"/>
      <c r="O203" s="1"/>
      <c r="P203" s="1"/>
      <c r="Q203" s="1"/>
      <c r="R203" s="1"/>
      <c r="S203" s="1"/>
      <c r="T203" s="1"/>
    </row>
  </sheetData>
  <mergeCells count="15">
    <mergeCell ref="D178:S178"/>
    <mergeCell ref="A6:B6"/>
    <mergeCell ref="A1:S1"/>
    <mergeCell ref="A2:S2"/>
    <mergeCell ref="A3:S3"/>
    <mergeCell ref="A4:S4"/>
    <mergeCell ref="A146:B146"/>
    <mergeCell ref="A149:B149"/>
    <mergeCell ref="A173:B173"/>
    <mergeCell ref="A39:B39"/>
    <mergeCell ref="A40:B40"/>
    <mergeCell ref="A66:B66"/>
    <mergeCell ref="A95:B95"/>
    <mergeCell ref="A101:B101"/>
    <mergeCell ref="A129:B1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0C07A3557FB58408C384EA4F761FC1E" ma:contentTypeVersion="9" ma:contentTypeDescription="Stvaranje novog dokumenta." ma:contentTypeScope="" ma:versionID="d20c2676eefd2f39fae8cb4156a995e5">
  <xsd:schema xmlns:xsd="http://www.w3.org/2001/XMLSchema" xmlns:xs="http://www.w3.org/2001/XMLSchema" xmlns:p="http://schemas.microsoft.com/office/2006/metadata/properties" xmlns:ns2="82eea5c3-ee87-4049-adec-d89b69c56c15" xmlns:ns3="e9128a08-07ed-48b2-a100-69e70ef14da1" targetNamespace="http://schemas.microsoft.com/office/2006/metadata/properties" ma:root="true" ma:fieldsID="0d4a7b790abb255be6ee733854f21697" ns2:_="" ns3:_="">
    <xsd:import namespace="82eea5c3-ee87-4049-adec-d89b69c56c15"/>
    <xsd:import namespace="e9128a08-07ed-48b2-a100-69e70ef14da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eea5c3-ee87-4049-adec-d89b69c56c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128a08-07ed-48b2-a100-69e70ef14da1"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E48AFB-DF02-4F72-9A05-51E03F19A3F4}">
  <ds:schemaRefs>
    <ds:schemaRef ds:uri="http://schemas.microsoft.com/sharepoint/v3/contenttype/forms"/>
  </ds:schemaRefs>
</ds:datastoreItem>
</file>

<file path=customXml/itemProps2.xml><?xml version="1.0" encoding="utf-8"?>
<ds:datastoreItem xmlns:ds="http://schemas.openxmlformats.org/officeDocument/2006/customXml" ds:itemID="{1740A2AB-350D-4077-99ED-C7E0FB1F1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eea5c3-ee87-4049-adec-d89b69c56c15"/>
    <ds:schemaRef ds:uri="e9128a08-07ed-48b2-a100-69e70ef14d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07AED9-36C6-43E9-BBD8-7D64B20F9ECB}">
  <ds:schemaRefs>
    <ds:schemaRef ds:uri="82eea5c3-ee87-4049-adec-d89b69c56c15"/>
    <ds:schemaRef ds:uri="http://purl.org/dc/terms/"/>
    <ds:schemaRef ds:uri="http://schemas.microsoft.com/office/2006/documentManagement/types"/>
    <ds:schemaRef ds:uri="e9128a08-07ed-48b2-a100-69e70ef14da1"/>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Guidance Annex I Part 2 templ</vt:lpstr>
      <vt:lpstr>GOV Annex 1 Part 2 template</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CANTON Joan (ENER)</dc:creator>
  <cp:lastModifiedBy>Maja Božičević Vrhovčak</cp:lastModifiedBy>
  <cp:lastPrinted>2018-12-19T13:17:57Z</cp:lastPrinted>
  <dcterms:created xsi:type="dcterms:W3CDTF">2017-03-21T16:17:19Z</dcterms:created>
  <dcterms:modified xsi:type="dcterms:W3CDTF">2019-12-16T19:15:09Z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0x01010060C07A3557FB58408C384EA4F761FC1E</vt:lpwstr>
  </property>
</Properties>
</file>